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ester Fire\Desktop\"/>
    </mc:Choice>
  </mc:AlternateContent>
  <workbookProtection lockStructure="1"/>
  <bookViews>
    <workbookView xWindow="0" yWindow="0" windowWidth="25200" windowHeight="11985" tabRatio="830" activeTab="7"/>
  </bookViews>
  <sheets>
    <sheet name="Main Page" sheetId="1" r:id="rId1"/>
    <sheet name="Wages" sheetId="2" r:id="rId2"/>
    <sheet name="Benefits" sheetId="3" r:id="rId3"/>
    <sheet name="PERS" sheetId="4" r:id="rId4"/>
    <sheet name="Workers Comp" sheetId="5" r:id="rId5"/>
    <sheet name="Payroll Taxes" sheetId="6" r:id="rId6"/>
    <sheet name="Unemployment Taxes" sheetId="7" r:id="rId7"/>
    <sheet name="Utilities-Auto Expense" sheetId="8" r:id="rId8"/>
    <sheet name="Training &amp; Travel" sheetId="9" r:id="rId9"/>
    <sheet name="Professional Services" sheetId="11" r:id="rId10"/>
    <sheet name="Total Employee Compensation" sheetId="10" r:id="rId11"/>
  </sheets>
  <definedNames>
    <definedName name="_xlnm.Print_Area" localSheetId="2">Benefits!$A$1:$S$38</definedName>
    <definedName name="_xlnm.Print_Area" localSheetId="0">'Main Page'!$A$1:$K$74</definedName>
    <definedName name="_xlnm.Print_Area" localSheetId="5">'Payroll Taxes'!$A$1:$H$53</definedName>
    <definedName name="_xlnm.Print_Area" localSheetId="3">PERS!$A$1:$I$55</definedName>
    <definedName name="_xlnm.Print_Area" localSheetId="9">'Professional Services'!$A$1:$K$28</definedName>
    <definedName name="_xlnm.Print_Area" localSheetId="10">'Total Employee Compensation'!$A$1:$M$23</definedName>
    <definedName name="_xlnm.Print_Area" localSheetId="8">'Training &amp; Travel'!$A$1:$H$26</definedName>
    <definedName name="_xlnm.Print_Area" localSheetId="6">'Unemployment Taxes'!$A$1:$F$54</definedName>
    <definedName name="_xlnm.Print_Area" localSheetId="7">'Utilities-Auto Expense'!$A$1:$J$29</definedName>
    <definedName name="_xlnm.Print_Area" localSheetId="1">Wages!$A$1:$AC$44</definedName>
    <definedName name="_xlnm.Print_Area" localSheetId="4">'Workers Comp'!$A$1:$F$57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1" l="1"/>
  <c r="G28" i="11"/>
  <c r="D27" i="11"/>
  <c r="D28" i="11"/>
  <c r="I28" i="11"/>
  <c r="F28" i="11"/>
  <c r="E28" i="11"/>
  <c r="D26" i="11"/>
  <c r="D9" i="9"/>
  <c r="D17" i="11"/>
  <c r="D25" i="11"/>
  <c r="D34" i="7"/>
  <c r="C34" i="7"/>
  <c r="F8" i="7"/>
  <c r="C8" i="7"/>
  <c r="F39" i="1"/>
  <c r="E39" i="1"/>
  <c r="G34" i="6"/>
  <c r="D34" i="6"/>
  <c r="C34" i="6"/>
  <c r="H8" i="6"/>
  <c r="G8" i="6"/>
  <c r="E8" i="6"/>
  <c r="C8" i="6"/>
  <c r="Q8" i="2"/>
  <c r="P8" i="2"/>
  <c r="E8" i="2"/>
  <c r="D8" i="2"/>
  <c r="K44" i="2"/>
  <c r="J44" i="2"/>
  <c r="L44" i="2"/>
  <c r="D24" i="11"/>
  <c r="D21" i="11"/>
  <c r="D20" i="11"/>
  <c r="D19" i="11"/>
  <c r="F35" i="5"/>
  <c r="C35" i="5"/>
  <c r="D35" i="5"/>
  <c r="E35" i="5"/>
  <c r="I27" i="4"/>
  <c r="M44" i="2"/>
  <c r="Q12" i="2"/>
  <c r="P12" i="2"/>
  <c r="G44" i="7"/>
  <c r="G43" i="7"/>
  <c r="E44" i="7"/>
  <c r="F18" i="7"/>
  <c r="F244" i="3"/>
  <c r="G243" i="3"/>
  <c r="K243" i="3" s="1"/>
  <c r="E243" i="3"/>
  <c r="G211" i="3"/>
  <c r="G179" i="3"/>
  <c r="E179" i="3"/>
  <c r="M16" i="3"/>
  <c r="E147" i="3" s="1"/>
  <c r="G147" i="3" s="1"/>
  <c r="I16" i="3"/>
  <c r="L16" i="3"/>
  <c r="K16" i="3" s="1"/>
  <c r="E16" i="3"/>
  <c r="H16" i="3"/>
  <c r="G16" i="3" s="1"/>
  <c r="D16" i="3"/>
  <c r="E55" i="3" s="1"/>
  <c r="G55" i="3" s="1"/>
  <c r="J17" i="2"/>
  <c r="M17" i="2" s="1"/>
  <c r="F17" i="2"/>
  <c r="R17" i="2" l="1"/>
  <c r="T17" i="2" s="1"/>
  <c r="C18" i="5"/>
  <c r="E18" i="5" s="1"/>
  <c r="F18" i="5" s="1"/>
  <c r="E47" i="5" s="1"/>
  <c r="G47" i="5" s="1"/>
  <c r="C18" i="7"/>
  <c r="C18" i="4"/>
  <c r="E18" i="4" s="1"/>
  <c r="I18" i="4" s="1"/>
  <c r="E47" i="4" s="1"/>
  <c r="G47" i="4" s="1"/>
  <c r="C18" i="6"/>
  <c r="E18" i="6" s="1"/>
  <c r="G35" i="5"/>
  <c r="E118" i="3"/>
  <c r="G118" i="3" s="1"/>
  <c r="E88" i="3"/>
  <c r="G88" i="3" s="1"/>
  <c r="D13" i="11"/>
  <c r="E7" i="3"/>
  <c r="I7" i="3"/>
  <c r="I17" i="3"/>
  <c r="G4" i="9"/>
  <c r="F4" i="9"/>
  <c r="F6" i="9"/>
  <c r="E6" i="9"/>
  <c r="D6" i="9"/>
  <c r="F5" i="9"/>
  <c r="E5" i="9"/>
  <c r="D5" i="9"/>
  <c r="F169" i="3"/>
  <c r="F234" i="3"/>
  <c r="E234" i="3"/>
  <c r="F247" i="3"/>
  <c r="F246" i="3"/>
  <c r="F245" i="3"/>
  <c r="E242" i="3"/>
  <c r="E241" i="3"/>
  <c r="E240" i="3"/>
  <c r="D238" i="3"/>
  <c r="C238" i="3"/>
  <c r="D237" i="3"/>
  <c r="C237" i="3"/>
  <c r="D236" i="3"/>
  <c r="C236" i="3"/>
  <c r="F233" i="3"/>
  <c r="E233" i="3"/>
  <c r="G18" i="6" l="1"/>
  <c r="H18" i="6" s="1"/>
  <c r="E44" i="6" s="1"/>
  <c r="G44" i="6" s="1"/>
  <c r="C169" i="3"/>
  <c r="D169" i="3"/>
  <c r="E169" i="3"/>
  <c r="F168" i="3"/>
  <c r="E168" i="3"/>
  <c r="D168" i="3"/>
  <c r="C168" i="3"/>
  <c r="I6" i="3"/>
  <c r="E64" i="3"/>
  <c r="E62" i="3"/>
  <c r="M27" i="3"/>
  <c r="M26" i="3"/>
  <c r="D157" i="3" s="1"/>
  <c r="M25" i="3"/>
  <c r="E156" i="3" s="1"/>
  <c r="M24" i="3"/>
  <c r="F155" i="3" s="1"/>
  <c r="G155" i="3" s="1"/>
  <c r="M23" i="3"/>
  <c r="E154" i="3" s="1"/>
  <c r="M22" i="3"/>
  <c r="D153" i="3" s="1"/>
  <c r="M21" i="3"/>
  <c r="D152" i="3" s="1"/>
  <c r="M20" i="3"/>
  <c r="F151" i="3" s="1"/>
  <c r="M19" i="3"/>
  <c r="F150" i="3" s="1"/>
  <c r="M18" i="3"/>
  <c r="F149" i="3" s="1"/>
  <c r="M17" i="3"/>
  <c r="M15" i="3"/>
  <c r="E146" i="3" s="1"/>
  <c r="M14" i="3"/>
  <c r="E145" i="3" s="1"/>
  <c r="M13" i="3"/>
  <c r="E144" i="3" s="1"/>
  <c r="M12" i="3"/>
  <c r="M11" i="3"/>
  <c r="D142" i="3" s="1"/>
  <c r="M10" i="3"/>
  <c r="C141" i="3" s="1"/>
  <c r="M9" i="3"/>
  <c r="D140" i="3" s="1"/>
  <c r="M8" i="3"/>
  <c r="M7" i="3"/>
  <c r="E137" i="3" s="1"/>
  <c r="P8" i="3"/>
  <c r="O8" i="3" s="1"/>
  <c r="O9" i="3"/>
  <c r="M6" i="3"/>
  <c r="C136" i="3" s="1"/>
  <c r="I23" i="4"/>
  <c r="I8" i="4"/>
  <c r="F148" i="3" l="1"/>
  <c r="G148" i="3" s="1"/>
  <c r="C142" i="3"/>
  <c r="D136" i="3"/>
  <c r="G168" i="3"/>
  <c r="C153" i="3"/>
  <c r="E136" i="3"/>
  <c r="C140" i="3"/>
  <c r="C157" i="3"/>
  <c r="D141" i="3"/>
  <c r="G169" i="3"/>
  <c r="C137" i="3"/>
  <c r="D137" i="3"/>
  <c r="C152" i="3"/>
  <c r="F137" i="3"/>
  <c r="F136" i="3"/>
  <c r="J61" i="1"/>
  <c r="H51" i="7"/>
  <c r="G136" i="3" l="1"/>
  <c r="G137" i="3"/>
  <c r="D6" i="11"/>
  <c r="F50" i="1" l="1"/>
  <c r="K13" i="11" l="1"/>
  <c r="K12" i="11"/>
  <c r="E194" i="3" l="1"/>
  <c r="F194" i="3"/>
  <c r="F193" i="3"/>
  <c r="F192" i="3"/>
  <c r="F191" i="3"/>
  <c r="F190" i="3"/>
  <c r="D194" i="3"/>
  <c r="E193" i="3"/>
  <c r="D193" i="3"/>
  <c r="E192" i="3"/>
  <c r="D192" i="3"/>
  <c r="E191" i="3"/>
  <c r="D191" i="3"/>
  <c r="D190" i="3"/>
  <c r="C194" i="3"/>
  <c r="C193" i="3"/>
  <c r="C192" i="3"/>
  <c r="C191" i="3"/>
  <c r="C190" i="3"/>
  <c r="E190" i="3"/>
  <c r="F167" i="3"/>
  <c r="D167" i="3"/>
  <c r="C167" i="3"/>
  <c r="G192" i="3" l="1"/>
  <c r="G190" i="3"/>
  <c r="G191" i="3"/>
  <c r="G194" i="3"/>
  <c r="G193" i="3"/>
  <c r="F183" i="3"/>
  <c r="F182" i="3"/>
  <c r="F181" i="3"/>
  <c r="F180" i="3"/>
  <c r="H18" i="10" s="1"/>
  <c r="C34" i="3"/>
  <c r="F196" i="3" l="1"/>
  <c r="F239" i="3"/>
  <c r="E239" i="3"/>
  <c r="G238" i="3"/>
  <c r="K238" i="3" s="1"/>
  <c r="G237" i="3"/>
  <c r="K237" i="3" s="1"/>
  <c r="G236" i="3"/>
  <c r="K236" i="3" s="1"/>
  <c r="F235" i="3"/>
  <c r="E235" i="3"/>
  <c r="D235" i="3"/>
  <c r="C235" i="3"/>
  <c r="D234" i="3"/>
  <c r="C234" i="3"/>
  <c r="E227" i="3"/>
  <c r="S37" i="3"/>
  <c r="D233" i="3"/>
  <c r="C233" i="3"/>
  <c r="F232" i="3"/>
  <c r="E232" i="3"/>
  <c r="D232" i="3"/>
  <c r="C232" i="3"/>
  <c r="G235" i="3" l="1"/>
  <c r="K235" i="3" s="1"/>
  <c r="G233" i="3"/>
  <c r="K233" i="3" s="1"/>
  <c r="F260" i="3"/>
  <c r="C260" i="3"/>
  <c r="D260" i="3"/>
  <c r="E260" i="3"/>
  <c r="G234" i="3"/>
  <c r="K234" i="3" s="1"/>
  <c r="G239" i="3"/>
  <c r="K239" i="3" s="1"/>
  <c r="G241" i="3"/>
  <c r="K241" i="3" s="1"/>
  <c r="G242" i="3"/>
  <c r="K242" i="3" s="1"/>
  <c r="G244" i="3"/>
  <c r="K244" i="3" s="1"/>
  <c r="G245" i="3"/>
  <c r="K245" i="3" s="1"/>
  <c r="G246" i="3"/>
  <c r="K246" i="3" s="1"/>
  <c r="G247" i="3"/>
  <c r="K247" i="3" s="1"/>
  <c r="G240" i="3"/>
  <c r="K240" i="3" s="1"/>
  <c r="G232" i="3"/>
  <c r="D26" i="3"/>
  <c r="F65" i="3" s="1"/>
  <c r="F263" i="3" s="1"/>
  <c r="D25" i="3"/>
  <c r="Q33" i="3"/>
  <c r="Q37" i="3" s="1"/>
  <c r="K260" i="3" l="1"/>
  <c r="G260" i="3"/>
  <c r="G156" i="3"/>
  <c r="G157" i="3"/>
  <c r="G65" i="3"/>
  <c r="G64" i="3"/>
  <c r="AC16" i="2" l="1"/>
  <c r="G213" i="3" l="1"/>
  <c r="G214" i="3"/>
  <c r="G215" i="3"/>
  <c r="G212" i="3"/>
  <c r="G6" i="2" l="1"/>
  <c r="F6" i="2"/>
  <c r="F227" i="3"/>
  <c r="G183" i="3"/>
  <c r="H21" i="10" s="1"/>
  <c r="G182" i="3"/>
  <c r="H20" i="10" s="1"/>
  <c r="G181" i="3"/>
  <c r="H19" i="10" s="1"/>
  <c r="G180" i="3"/>
  <c r="C25" i="9" l="1"/>
  <c r="H23" i="9"/>
  <c r="I58" i="1" s="1"/>
  <c r="I12" i="8" l="1"/>
  <c r="I37" i="1" s="1"/>
  <c r="K68" i="1" l="1"/>
  <c r="E6" i="2"/>
  <c r="D6" i="2"/>
  <c r="G5" i="2"/>
  <c r="F5" i="2"/>
  <c r="E5" i="2"/>
  <c r="D5" i="2"/>
  <c r="G4" i="2"/>
  <c r="E4" i="2"/>
  <c r="D4" i="2"/>
  <c r="F16" i="2" l="1"/>
  <c r="L17" i="10" l="1"/>
  <c r="F17" i="7"/>
  <c r="E43" i="7" s="1"/>
  <c r="G210" i="3"/>
  <c r="I17" i="10" s="1"/>
  <c r="E178" i="3"/>
  <c r="G178" i="3" s="1"/>
  <c r="H17" i="10" s="1"/>
  <c r="L15" i="3"/>
  <c r="K15" i="3" s="1"/>
  <c r="I15" i="3"/>
  <c r="H15" i="3"/>
  <c r="G15" i="3" s="1"/>
  <c r="E15" i="3"/>
  <c r="D15" i="3"/>
  <c r="E54" i="3" s="1"/>
  <c r="G54" i="3" s="1"/>
  <c r="D17" i="10" s="1"/>
  <c r="I16" i="2"/>
  <c r="J16" i="2" s="1"/>
  <c r="M16" i="2" s="1"/>
  <c r="R16" i="2" s="1"/>
  <c r="T16" i="2" s="1"/>
  <c r="N30" i="2"/>
  <c r="N31" i="2"/>
  <c r="N32" i="2"/>
  <c r="N33" i="2"/>
  <c r="C17" i="4" l="1"/>
  <c r="E17" i="4" s="1"/>
  <c r="I17" i="4" s="1"/>
  <c r="C17" i="5"/>
  <c r="E17" i="5" s="1"/>
  <c r="F17" i="5" s="1"/>
  <c r="E46" i="5" s="1"/>
  <c r="G46" i="5" s="1"/>
  <c r="C17" i="6"/>
  <c r="G17" i="6" s="1"/>
  <c r="C17" i="10"/>
  <c r="C17" i="7"/>
  <c r="G146" i="3"/>
  <c r="G17" i="10" s="1"/>
  <c r="E117" i="3"/>
  <c r="G117" i="3" s="1"/>
  <c r="F17" i="10" s="1"/>
  <c r="E87" i="3"/>
  <c r="G87" i="3" s="1"/>
  <c r="E17" i="10" s="1"/>
  <c r="J60" i="1"/>
  <c r="J59" i="1"/>
  <c r="J57" i="1"/>
  <c r="J56" i="1"/>
  <c r="J54" i="1"/>
  <c r="J53" i="1"/>
  <c r="J51" i="1"/>
  <c r="J50" i="1"/>
  <c r="J49" i="1"/>
  <c r="J48" i="1"/>
  <c r="J40" i="1"/>
  <c r="J36" i="1"/>
  <c r="J35" i="1"/>
  <c r="J34" i="1"/>
  <c r="J3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E17" i="6" l="1"/>
  <c r="H17" i="6" s="1"/>
  <c r="E43" i="6" s="1"/>
  <c r="G43" i="6" s="1"/>
  <c r="J17" i="10"/>
  <c r="G23" i="9"/>
  <c r="H58" i="1" s="1"/>
  <c r="E46" i="4" l="1"/>
  <c r="G46" i="4" s="1"/>
  <c r="D11" i="8"/>
  <c r="D9" i="8"/>
  <c r="D8" i="8"/>
  <c r="D7" i="8"/>
  <c r="D6" i="8"/>
  <c r="D5" i="8"/>
  <c r="D24" i="1"/>
  <c r="E12" i="8"/>
  <c r="D37" i="1" s="1"/>
  <c r="D63" i="1" l="1"/>
  <c r="I55" i="1"/>
  <c r="I26" i="8"/>
  <c r="I24" i="1"/>
  <c r="J38" i="1" l="1"/>
  <c r="I52" i="1"/>
  <c r="D65" i="1"/>
  <c r="D72" i="1" s="1"/>
  <c r="C33" i="3"/>
  <c r="D24" i="3"/>
  <c r="C63" i="3" l="1"/>
  <c r="D63" i="3"/>
  <c r="D24" i="8"/>
  <c r="D23" i="8"/>
  <c r="D22" i="8"/>
  <c r="D21" i="8"/>
  <c r="D20" i="8"/>
  <c r="F26" i="8"/>
  <c r="E52" i="1" s="1"/>
  <c r="G63" i="3" l="1"/>
  <c r="I4" i="2"/>
  <c r="AC21" i="2"/>
  <c r="AC20" i="2"/>
  <c r="AC19" i="2"/>
  <c r="AC18" i="2"/>
  <c r="AC15" i="2"/>
  <c r="AC14" i="2"/>
  <c r="AC13" i="2"/>
  <c r="AC12" i="2"/>
  <c r="AC11" i="2"/>
  <c r="AC10" i="2"/>
  <c r="AC9" i="2"/>
  <c r="AC8" i="2"/>
  <c r="AC5" i="2"/>
  <c r="AC4" i="2"/>
  <c r="N29" i="2" l="1"/>
  <c r="N28" i="2"/>
  <c r="N27" i="2"/>
  <c r="M34" i="2" l="1"/>
  <c r="L21" i="2"/>
  <c r="L20" i="2"/>
  <c r="L19" i="2"/>
  <c r="L18" i="2"/>
  <c r="L15" i="2"/>
  <c r="L14" i="2"/>
  <c r="L13" i="2"/>
  <c r="L12" i="2"/>
  <c r="L11" i="2"/>
  <c r="L10" i="2"/>
  <c r="L9" i="2"/>
  <c r="L8" i="2"/>
  <c r="L5" i="2"/>
  <c r="L4" i="2"/>
  <c r="Y21" i="2"/>
  <c r="K21" i="2" s="1"/>
  <c r="Y20" i="2"/>
  <c r="K20" i="2" s="1"/>
  <c r="Y18" i="2"/>
  <c r="K18" i="2" s="1"/>
  <c r="Y15" i="2"/>
  <c r="K15" i="2" s="1"/>
  <c r="Y14" i="2"/>
  <c r="K14" i="2" s="1"/>
  <c r="Y13" i="2"/>
  <c r="K13" i="2" s="1"/>
  <c r="Y12" i="2"/>
  <c r="K12" i="2" s="1"/>
  <c r="Y11" i="2"/>
  <c r="K11" i="2" s="1"/>
  <c r="Y10" i="2"/>
  <c r="K10" i="2" s="1"/>
  <c r="Y9" i="2"/>
  <c r="K9" i="2" s="1"/>
  <c r="Y8" i="2"/>
  <c r="Y6" i="2"/>
  <c r="K6" i="2" s="1"/>
  <c r="Y4" i="2"/>
  <c r="K4" i="2" s="1"/>
  <c r="Y19" i="2"/>
  <c r="K19" i="2" s="1"/>
  <c r="K8" i="2" l="1"/>
  <c r="D23" i="11"/>
  <c r="D22" i="11"/>
  <c r="D18" i="11"/>
  <c r="D16" i="11"/>
  <c r="D15" i="11"/>
  <c r="D14" i="11"/>
  <c r="D12" i="11"/>
  <c r="D11" i="11"/>
  <c r="D9" i="11"/>
  <c r="D8" i="11"/>
  <c r="D7" i="11"/>
  <c r="D5" i="11"/>
  <c r="H55" i="1" l="1"/>
  <c r="G55" i="1"/>
  <c r="K23" i="11"/>
  <c r="K22" i="11"/>
  <c r="K18" i="11"/>
  <c r="K16" i="11"/>
  <c r="K15" i="11"/>
  <c r="K14" i="11"/>
  <c r="K11" i="11"/>
  <c r="K10" i="11"/>
  <c r="K9" i="11"/>
  <c r="K8" i="11"/>
  <c r="K7" i="11"/>
  <c r="F55" i="1" l="1"/>
  <c r="K28" i="11"/>
  <c r="E55" i="1"/>
  <c r="K6" i="11"/>
  <c r="K5" i="11"/>
  <c r="J55" i="1" l="1"/>
  <c r="L21" i="10"/>
  <c r="L20" i="10"/>
  <c r="L19" i="10"/>
  <c r="L18" i="10"/>
  <c r="L16" i="10"/>
  <c r="L15" i="10"/>
  <c r="L14" i="10"/>
  <c r="L13" i="10"/>
  <c r="L12" i="10"/>
  <c r="L11" i="10"/>
  <c r="L10" i="10"/>
  <c r="L9" i="10"/>
  <c r="L7" i="10"/>
  <c r="L6" i="10"/>
  <c r="L5" i="10"/>
  <c r="I13" i="10"/>
  <c r="I7" i="10"/>
  <c r="G13" i="10"/>
  <c r="F13" i="10"/>
  <c r="E13" i="10"/>
  <c r="H24" i="1"/>
  <c r="G24" i="1"/>
  <c r="F24" i="1"/>
  <c r="E24" i="1"/>
  <c r="E12" i="9"/>
  <c r="D12" i="9"/>
  <c r="E11" i="9"/>
  <c r="D11" i="9"/>
  <c r="E10" i="9"/>
  <c r="D10" i="9"/>
  <c r="E9" i="9"/>
  <c r="F8" i="9"/>
  <c r="E8" i="9"/>
  <c r="D8" i="9"/>
  <c r="E4" i="9"/>
  <c r="D4" i="9"/>
  <c r="J26" i="8"/>
  <c r="H52" i="1" s="1"/>
  <c r="H26" i="8"/>
  <c r="G52" i="1" s="1"/>
  <c r="G26" i="8"/>
  <c r="D23" i="9" l="1"/>
  <c r="L24" i="1"/>
  <c r="D28" i="8"/>
  <c r="F52" i="1"/>
  <c r="J52" i="1" s="1"/>
  <c r="L23" i="10"/>
  <c r="F23" i="9"/>
  <c r="E23" i="9"/>
  <c r="F58" i="1" s="1"/>
  <c r="J12" i="8"/>
  <c r="H37" i="1" s="1"/>
  <c r="H63" i="1" s="1"/>
  <c r="H12" i="8"/>
  <c r="G37" i="1" s="1"/>
  <c r="G12" i="8"/>
  <c r="F37" i="1" s="1"/>
  <c r="F12" i="8"/>
  <c r="G58" i="1" l="1"/>
  <c r="F25" i="9"/>
  <c r="E37" i="1"/>
  <c r="J37" i="1" s="1"/>
  <c r="J14" i="8"/>
  <c r="E58" i="1"/>
  <c r="D14" i="8"/>
  <c r="H7" i="3"/>
  <c r="J58" i="1" l="1"/>
  <c r="F22" i="7"/>
  <c r="F48" i="7" s="1"/>
  <c r="F21" i="7"/>
  <c r="F47" i="7" s="1"/>
  <c r="F20" i="7"/>
  <c r="F46" i="7" s="1"/>
  <c r="F19" i="7"/>
  <c r="F45" i="7" s="1"/>
  <c r="F16" i="7"/>
  <c r="F15" i="7"/>
  <c r="F14" i="7"/>
  <c r="F13" i="7"/>
  <c r="F12" i="7"/>
  <c r="F11" i="7"/>
  <c r="F10" i="7"/>
  <c r="F9" i="7"/>
  <c r="F7" i="7"/>
  <c r="F6" i="7"/>
  <c r="F5" i="7"/>
  <c r="E23" i="5"/>
  <c r="F23" i="5" s="1"/>
  <c r="F33" i="7" l="1"/>
  <c r="E33" i="7"/>
  <c r="F31" i="7"/>
  <c r="C31" i="7"/>
  <c r="E31" i="7"/>
  <c r="D31" i="7"/>
  <c r="F35" i="7"/>
  <c r="E35" i="7"/>
  <c r="G45" i="7"/>
  <c r="G46" i="7"/>
  <c r="E32" i="7"/>
  <c r="D32" i="7"/>
  <c r="F32" i="7"/>
  <c r="C32" i="7"/>
  <c r="G47" i="7"/>
  <c r="D33" i="7"/>
  <c r="C33" i="7"/>
  <c r="G48" i="7"/>
  <c r="F24" i="7"/>
  <c r="E40" i="7"/>
  <c r="G40" i="7" s="1"/>
  <c r="E41" i="7"/>
  <c r="G41" i="7" s="1"/>
  <c r="E42" i="7"/>
  <c r="G42" i="7" s="1"/>
  <c r="C52" i="5"/>
  <c r="E52" i="5"/>
  <c r="D52" i="5"/>
  <c r="G226" i="3"/>
  <c r="G223" i="3"/>
  <c r="G222" i="3"/>
  <c r="G218" i="3"/>
  <c r="G217" i="3"/>
  <c r="G216" i="3"/>
  <c r="I21" i="10"/>
  <c r="I20" i="10"/>
  <c r="I19" i="10"/>
  <c r="I18" i="10"/>
  <c r="G209" i="3"/>
  <c r="I16" i="10" s="1"/>
  <c r="G208" i="3"/>
  <c r="I15" i="10" s="1"/>
  <c r="G207" i="3"/>
  <c r="I14" i="10" s="1"/>
  <c r="G206" i="3"/>
  <c r="I12" i="10" s="1"/>
  <c r="G204" i="3"/>
  <c r="I10" i="10" s="1"/>
  <c r="G203" i="3"/>
  <c r="G202" i="3"/>
  <c r="R37" i="3"/>
  <c r="F51" i="7" l="1"/>
  <c r="H65" i="1" s="1"/>
  <c r="H67" i="1" s="1"/>
  <c r="I9" i="10"/>
  <c r="G31" i="7"/>
  <c r="G33" i="7"/>
  <c r="G32" i="7"/>
  <c r="D36" i="7"/>
  <c r="C36" i="7"/>
  <c r="E24" i="7"/>
  <c r="D39" i="7"/>
  <c r="C39" i="7"/>
  <c r="D35" i="7"/>
  <c r="C35" i="7"/>
  <c r="C37" i="7"/>
  <c r="D37" i="7"/>
  <c r="C38" i="7"/>
  <c r="D38" i="7"/>
  <c r="G52" i="5"/>
  <c r="G199" i="3"/>
  <c r="I5" i="10" s="1"/>
  <c r="G225" i="3"/>
  <c r="G205" i="3"/>
  <c r="I11" i="10" s="1"/>
  <c r="G224" i="3"/>
  <c r="E11" i="3"/>
  <c r="H72" i="1" l="1"/>
  <c r="G35" i="7"/>
  <c r="G38" i="7"/>
  <c r="E51" i="7"/>
  <c r="G46" i="1" s="1"/>
  <c r="D51" i="7"/>
  <c r="F46" i="1" s="1"/>
  <c r="G37" i="7"/>
  <c r="G39" i="7"/>
  <c r="G36" i="7"/>
  <c r="D39" i="2"/>
  <c r="G51" i="7" l="1"/>
  <c r="I46" i="1" s="1"/>
  <c r="C51" i="7"/>
  <c r="F53" i="7" s="1"/>
  <c r="G43" i="4"/>
  <c r="G42" i="4"/>
  <c r="E46" i="1" l="1"/>
  <c r="J46" i="1" s="1"/>
  <c r="J34" i="3"/>
  <c r="H11" i="3"/>
  <c r="G11" i="3" s="1"/>
  <c r="C83" i="3" l="1"/>
  <c r="D83" i="3"/>
  <c r="E171" i="3"/>
  <c r="D171" i="3"/>
  <c r="C171" i="3"/>
  <c r="G52" i="4" l="1"/>
  <c r="E175" i="3" l="1"/>
  <c r="E177" i="3"/>
  <c r="G177" i="3" s="1"/>
  <c r="H16" i="10" s="1"/>
  <c r="E176" i="3"/>
  <c r="G176" i="3" s="1"/>
  <c r="H15" i="10" s="1"/>
  <c r="D174" i="3"/>
  <c r="C174" i="3"/>
  <c r="D173" i="3"/>
  <c r="C173" i="3"/>
  <c r="D172" i="3"/>
  <c r="D196" i="3" s="1"/>
  <c r="C172" i="3"/>
  <c r="G171" i="3"/>
  <c r="H9" i="10" s="1"/>
  <c r="E167" i="3"/>
  <c r="H5" i="3"/>
  <c r="O37" i="3"/>
  <c r="G154" i="3"/>
  <c r="G153" i="3"/>
  <c r="G152" i="3"/>
  <c r="G125" i="3"/>
  <c r="G124" i="3"/>
  <c r="G123" i="3"/>
  <c r="G95" i="3"/>
  <c r="G94" i="3"/>
  <c r="G93" i="3"/>
  <c r="G51" i="3"/>
  <c r="D13" i="10" s="1"/>
  <c r="E196" i="3" l="1"/>
  <c r="G167" i="3"/>
  <c r="C196" i="3"/>
  <c r="G175" i="3"/>
  <c r="M17" i="10"/>
  <c r="H5" i="10"/>
  <c r="H6" i="10"/>
  <c r="H7" i="10"/>
  <c r="G174" i="3"/>
  <c r="H12" i="10" s="1"/>
  <c r="G172" i="3"/>
  <c r="H10" i="10" s="1"/>
  <c r="G173" i="3"/>
  <c r="H11" i="10" s="1"/>
  <c r="G83" i="3"/>
  <c r="E12" i="10" s="1"/>
  <c r="N34" i="3"/>
  <c r="G151" i="3"/>
  <c r="G150" i="3"/>
  <c r="G149" i="3"/>
  <c r="O6" i="3"/>
  <c r="P5" i="3"/>
  <c r="I20" i="3"/>
  <c r="I19" i="3"/>
  <c r="I18" i="3"/>
  <c r="I14" i="3"/>
  <c r="I13" i="3"/>
  <c r="I11" i="3"/>
  <c r="I10" i="3"/>
  <c r="I9" i="3"/>
  <c r="I8" i="3"/>
  <c r="E20" i="3"/>
  <c r="E19" i="3"/>
  <c r="E18" i="3"/>
  <c r="E17" i="3"/>
  <c r="E14" i="3"/>
  <c r="E13" i="3"/>
  <c r="E10" i="3"/>
  <c r="E9" i="3"/>
  <c r="E8" i="3"/>
  <c r="E6" i="3"/>
  <c r="F34" i="3"/>
  <c r="L20" i="3"/>
  <c r="K20" i="3" s="1"/>
  <c r="L19" i="3"/>
  <c r="K19" i="3" s="1"/>
  <c r="L18" i="3"/>
  <c r="K18" i="3" s="1"/>
  <c r="L17" i="3"/>
  <c r="K17" i="3" s="1"/>
  <c r="L14" i="3"/>
  <c r="K14" i="3" s="1"/>
  <c r="L13" i="3"/>
  <c r="K13" i="3" s="1"/>
  <c r="L11" i="3"/>
  <c r="K11" i="3" s="1"/>
  <c r="L10" i="3"/>
  <c r="K10" i="3" s="1"/>
  <c r="L9" i="3"/>
  <c r="K9" i="3" s="1"/>
  <c r="L8" i="3"/>
  <c r="K8" i="3" s="1"/>
  <c r="L7" i="3"/>
  <c r="K7" i="3" s="1"/>
  <c r="L6" i="3"/>
  <c r="K6" i="3" s="1"/>
  <c r="L5" i="3"/>
  <c r="K5" i="3" s="1"/>
  <c r="C35" i="3"/>
  <c r="H20" i="3"/>
  <c r="G20" i="3" s="1"/>
  <c r="H19" i="3"/>
  <c r="G19" i="3" s="1"/>
  <c r="H18" i="3"/>
  <c r="G18" i="3" s="1"/>
  <c r="H17" i="3"/>
  <c r="G17" i="3" s="1"/>
  <c r="H14" i="3"/>
  <c r="G14" i="3" s="1"/>
  <c r="H13" i="3"/>
  <c r="G13" i="3" s="1"/>
  <c r="H10" i="3"/>
  <c r="G10" i="3" s="1"/>
  <c r="H9" i="3"/>
  <c r="G9" i="3" s="1"/>
  <c r="H8" i="3"/>
  <c r="G8" i="3" s="1"/>
  <c r="H6" i="3"/>
  <c r="G6" i="3" s="1"/>
  <c r="G5" i="3"/>
  <c r="D23" i="3"/>
  <c r="D22" i="3"/>
  <c r="C61" i="3" s="1"/>
  <c r="D21" i="3"/>
  <c r="D20" i="3"/>
  <c r="F59" i="3" s="1"/>
  <c r="D19" i="3"/>
  <c r="F58" i="3" s="1"/>
  <c r="D18" i="3"/>
  <c r="F57" i="3" s="1"/>
  <c r="D17" i="3"/>
  <c r="F56" i="3" s="1"/>
  <c r="D14" i="3"/>
  <c r="E53" i="3" s="1"/>
  <c r="D13" i="3"/>
  <c r="E52" i="3" s="1"/>
  <c r="D11" i="3"/>
  <c r="D10" i="3"/>
  <c r="D9" i="3"/>
  <c r="D8" i="3"/>
  <c r="D7" i="3"/>
  <c r="D6" i="3"/>
  <c r="D5" i="3"/>
  <c r="F92" i="3" l="1"/>
  <c r="G92" i="3" s="1"/>
  <c r="E21" i="10" s="1"/>
  <c r="I195" i="3"/>
  <c r="E78" i="3"/>
  <c r="F78" i="3"/>
  <c r="F108" i="3"/>
  <c r="E108" i="3"/>
  <c r="D108" i="3"/>
  <c r="C108" i="3"/>
  <c r="H13" i="10"/>
  <c r="H14" i="10"/>
  <c r="C107" i="3"/>
  <c r="D107" i="3"/>
  <c r="E107" i="3"/>
  <c r="F107" i="3"/>
  <c r="F44" i="3"/>
  <c r="E44" i="3"/>
  <c r="F121" i="3"/>
  <c r="G121" i="3" s="1"/>
  <c r="F20" i="10" s="1"/>
  <c r="F91" i="3"/>
  <c r="F120" i="3"/>
  <c r="G120" i="3" s="1"/>
  <c r="F19" i="10" s="1"/>
  <c r="D34" i="3"/>
  <c r="C36" i="3" s="1"/>
  <c r="E263" i="3"/>
  <c r="G44" i="1" s="1"/>
  <c r="I44" i="1"/>
  <c r="D76" i="3"/>
  <c r="F76" i="3"/>
  <c r="C76" i="3"/>
  <c r="E76" i="3"/>
  <c r="F89" i="3"/>
  <c r="D106" i="3"/>
  <c r="F106" i="3"/>
  <c r="C106" i="3"/>
  <c r="F122" i="3"/>
  <c r="G122" i="3" s="1"/>
  <c r="F21" i="10" s="1"/>
  <c r="G196" i="3"/>
  <c r="E43" i="3"/>
  <c r="F43" i="3" s="1"/>
  <c r="C43" i="3"/>
  <c r="D43" i="3"/>
  <c r="F90" i="3"/>
  <c r="G90" i="3" s="1"/>
  <c r="E19" i="10" s="1"/>
  <c r="F119" i="3"/>
  <c r="G119" i="3" s="1"/>
  <c r="F18" i="10" s="1"/>
  <c r="G56" i="3"/>
  <c r="D18" i="10" s="1"/>
  <c r="E77" i="3"/>
  <c r="F77" i="3"/>
  <c r="C77" i="3"/>
  <c r="D77" i="3"/>
  <c r="D78" i="3"/>
  <c r="C78" i="3"/>
  <c r="D44" i="3"/>
  <c r="C44" i="3"/>
  <c r="E47" i="3"/>
  <c r="F47" i="3"/>
  <c r="G52" i="3"/>
  <c r="D15" i="10" s="1"/>
  <c r="G58" i="3"/>
  <c r="D20" i="10" s="1"/>
  <c r="E80" i="3"/>
  <c r="F80" i="3"/>
  <c r="F45" i="3"/>
  <c r="C45" i="3"/>
  <c r="D45" i="3"/>
  <c r="E45" i="3"/>
  <c r="G57" i="3"/>
  <c r="D19" i="10" s="1"/>
  <c r="G53" i="3"/>
  <c r="D16" i="10" s="1"/>
  <c r="G59" i="3"/>
  <c r="D21" i="10" s="1"/>
  <c r="G89" i="3"/>
  <c r="E18" i="10" s="1"/>
  <c r="E33" i="3"/>
  <c r="D47" i="3"/>
  <c r="C47" i="3"/>
  <c r="D227" i="3"/>
  <c r="C139" i="3"/>
  <c r="E139" i="3"/>
  <c r="D139" i="3"/>
  <c r="I33" i="3"/>
  <c r="C110" i="3"/>
  <c r="D110" i="3"/>
  <c r="E110" i="3"/>
  <c r="D80" i="3"/>
  <c r="C80" i="3"/>
  <c r="D61" i="3"/>
  <c r="D33" i="3"/>
  <c r="D35" i="3" s="1"/>
  <c r="C37" i="3" s="1"/>
  <c r="L71" i="3" s="1"/>
  <c r="D60" i="3"/>
  <c r="C60" i="3"/>
  <c r="C263" i="3" s="1"/>
  <c r="D112" i="3"/>
  <c r="C112" i="3"/>
  <c r="G144" i="3"/>
  <c r="G15" i="10" s="1"/>
  <c r="G20" i="10"/>
  <c r="D113" i="3"/>
  <c r="C113" i="3"/>
  <c r="G145" i="3"/>
  <c r="G16" i="10" s="1"/>
  <c r="G21" i="10"/>
  <c r="E115" i="3"/>
  <c r="G115" i="3" s="1"/>
  <c r="F15" i="10" s="1"/>
  <c r="G18" i="10"/>
  <c r="E106" i="3"/>
  <c r="D111" i="3"/>
  <c r="C111" i="3"/>
  <c r="E116" i="3"/>
  <c r="G116" i="3" s="1"/>
  <c r="F16" i="10" s="1"/>
  <c r="G19" i="10"/>
  <c r="D81" i="3"/>
  <c r="C81" i="3"/>
  <c r="E85" i="3"/>
  <c r="G85" i="3" s="1"/>
  <c r="E15" i="10" s="1"/>
  <c r="D82" i="3"/>
  <c r="C82" i="3"/>
  <c r="E86" i="3"/>
  <c r="G86" i="3" s="1"/>
  <c r="E16" i="10" s="1"/>
  <c r="C49" i="3"/>
  <c r="D49" i="3"/>
  <c r="K33" i="3"/>
  <c r="D50" i="3"/>
  <c r="C50" i="3"/>
  <c r="C48" i="3"/>
  <c r="D48" i="3"/>
  <c r="O5" i="3"/>
  <c r="O33" i="3" s="1"/>
  <c r="P34" i="3"/>
  <c r="M37" i="3" s="1"/>
  <c r="L34" i="3"/>
  <c r="J37" i="3" s="1"/>
  <c r="H34" i="3"/>
  <c r="F37" i="3" s="1"/>
  <c r="G33" i="3"/>
  <c r="M33" i="3"/>
  <c r="G108" i="3" l="1"/>
  <c r="F7" i="10" s="1"/>
  <c r="H23" i="10"/>
  <c r="C135" i="3"/>
  <c r="G106" i="3"/>
  <c r="G107" i="3"/>
  <c r="F6" i="10" s="1"/>
  <c r="F132" i="3"/>
  <c r="F135" i="3"/>
  <c r="F164" i="3" s="1"/>
  <c r="E44" i="1"/>
  <c r="L70" i="3"/>
  <c r="L72" i="3" s="1"/>
  <c r="C38" i="3"/>
  <c r="D263" i="3"/>
  <c r="G263" i="3" s="1"/>
  <c r="D135" i="3"/>
  <c r="G80" i="3"/>
  <c r="E9" i="10" s="1"/>
  <c r="G61" i="3"/>
  <c r="G47" i="3"/>
  <c r="D9" i="10" s="1"/>
  <c r="G45" i="3"/>
  <c r="D7" i="10" s="1"/>
  <c r="G60" i="3"/>
  <c r="E132" i="3"/>
  <c r="F72" i="3"/>
  <c r="G48" i="3"/>
  <c r="D10" i="10" s="1"/>
  <c r="G50" i="3"/>
  <c r="D12" i="10" s="1"/>
  <c r="G49" i="3"/>
  <c r="D11" i="10" s="1"/>
  <c r="F102" i="3"/>
  <c r="G62" i="3"/>
  <c r="G78" i="3"/>
  <c r="E7" i="10" s="1"/>
  <c r="G76" i="3"/>
  <c r="E5" i="10" s="1"/>
  <c r="G43" i="3"/>
  <c r="D5" i="10" s="1"/>
  <c r="G44" i="3"/>
  <c r="D6" i="10" s="1"/>
  <c r="G91" i="3"/>
  <c r="E20" i="10" s="1"/>
  <c r="G77" i="3"/>
  <c r="E6" i="10" s="1"/>
  <c r="C72" i="3"/>
  <c r="G110" i="3"/>
  <c r="F9" i="10" s="1"/>
  <c r="G139" i="3"/>
  <c r="G9" i="10" s="1"/>
  <c r="G200" i="3"/>
  <c r="G227" i="3" s="1"/>
  <c r="C227" i="3"/>
  <c r="E72" i="3"/>
  <c r="D72" i="3"/>
  <c r="D102" i="3"/>
  <c r="C164" i="3"/>
  <c r="F5" i="10"/>
  <c r="G142" i="3"/>
  <c r="G12" i="10" s="1"/>
  <c r="E102" i="3"/>
  <c r="C102" i="3"/>
  <c r="C132" i="3"/>
  <c r="G140" i="3"/>
  <c r="G10" i="10" s="1"/>
  <c r="G113" i="3"/>
  <c r="F12" i="10" s="1"/>
  <c r="D132" i="3"/>
  <c r="G6" i="10"/>
  <c r="G7" i="10"/>
  <c r="G111" i="3"/>
  <c r="F10" i="10" s="1"/>
  <c r="G141" i="3"/>
  <c r="G11" i="10" s="1"/>
  <c r="E135" i="3"/>
  <c r="E164" i="3" s="1"/>
  <c r="G112" i="3"/>
  <c r="F11" i="10" s="1"/>
  <c r="G82" i="3"/>
  <c r="E11" i="10" s="1"/>
  <c r="G81" i="3"/>
  <c r="E10" i="10" s="1"/>
  <c r="G135" i="3" l="1"/>
  <c r="F264" i="3"/>
  <c r="I45" i="1" s="1"/>
  <c r="F44" i="1"/>
  <c r="J44" i="1" s="1"/>
  <c r="D164" i="3"/>
  <c r="D264" i="3" s="1"/>
  <c r="E264" i="3"/>
  <c r="C264" i="3"/>
  <c r="E45" i="1" s="1"/>
  <c r="F23" i="10"/>
  <c r="I6" i="10"/>
  <c r="I23" i="10" s="1"/>
  <c r="E23" i="10"/>
  <c r="D23" i="10"/>
  <c r="G72" i="3"/>
  <c r="G102" i="3"/>
  <c r="G132" i="3"/>
  <c r="G45" i="1" l="1"/>
  <c r="G264" i="3"/>
  <c r="G164" i="3"/>
  <c r="G5" i="10"/>
  <c r="G23" i="10" s="1"/>
  <c r="F45" i="1"/>
  <c r="G21" i="2"/>
  <c r="G20" i="2"/>
  <c r="G19" i="2"/>
  <c r="G18" i="2"/>
  <c r="F15" i="2"/>
  <c r="F14" i="2"/>
  <c r="F13" i="2"/>
  <c r="E12" i="2"/>
  <c r="D12" i="2"/>
  <c r="E11" i="2"/>
  <c r="D11" i="2"/>
  <c r="E10" i="2"/>
  <c r="D10" i="2"/>
  <c r="E9" i="2"/>
  <c r="D9" i="2"/>
  <c r="F4" i="2"/>
  <c r="J45" i="1" l="1"/>
  <c r="G23" i="2"/>
  <c r="F23" i="2"/>
  <c r="E23" i="2"/>
  <c r="E37" i="2"/>
  <c r="E36" i="2"/>
  <c r="E35" i="2"/>
  <c r="E34" i="2"/>
  <c r="E33" i="2"/>
  <c r="E32" i="2"/>
  <c r="E31" i="2"/>
  <c r="E30" i="2"/>
  <c r="E29" i="2"/>
  <c r="E28" i="2"/>
  <c r="E27" i="2"/>
  <c r="E26" i="2"/>
  <c r="I21" i="2"/>
  <c r="I20" i="2"/>
  <c r="J20" i="2" s="1"/>
  <c r="I19" i="2"/>
  <c r="J19" i="2" s="1"/>
  <c r="M19" i="2" s="1"/>
  <c r="I18" i="2"/>
  <c r="J18" i="2" s="1"/>
  <c r="M18" i="2" s="1"/>
  <c r="I15" i="2"/>
  <c r="I14" i="2"/>
  <c r="J14" i="2" s="1"/>
  <c r="M14" i="2" s="1"/>
  <c r="M20" i="2" l="1"/>
  <c r="C20" i="10" s="1"/>
  <c r="C20" i="5"/>
  <c r="C20" i="6"/>
  <c r="C20" i="7"/>
  <c r="C19" i="5"/>
  <c r="E19" i="5" s="1"/>
  <c r="F19" i="5" s="1"/>
  <c r="F48" i="5" s="1"/>
  <c r="C19" i="6"/>
  <c r="C19" i="7"/>
  <c r="C15" i="6"/>
  <c r="C15" i="5"/>
  <c r="E15" i="5" s="1"/>
  <c r="F15" i="5" s="1"/>
  <c r="E44" i="5" s="1"/>
  <c r="G44" i="5" s="1"/>
  <c r="C15" i="7"/>
  <c r="R14" i="2"/>
  <c r="T14" i="2" s="1"/>
  <c r="C15" i="4"/>
  <c r="S19" i="2"/>
  <c r="T19" i="2" s="1"/>
  <c r="C20" i="4"/>
  <c r="S18" i="2"/>
  <c r="T18" i="2" s="1"/>
  <c r="C19" i="4"/>
  <c r="E20" i="5"/>
  <c r="F20" i="5" s="1"/>
  <c r="F49" i="5" s="1"/>
  <c r="C18" i="10"/>
  <c r="C19" i="10"/>
  <c r="C15" i="10"/>
  <c r="J21" i="2"/>
  <c r="M21" i="2" s="1"/>
  <c r="J15" i="2"/>
  <c r="M15" i="2" s="1"/>
  <c r="R15" i="2" s="1"/>
  <c r="E39" i="2"/>
  <c r="D23" i="2"/>
  <c r="C23" i="2" s="1"/>
  <c r="I12" i="2"/>
  <c r="I11" i="2"/>
  <c r="J11" i="2" s="1"/>
  <c r="M11" i="2" s="1"/>
  <c r="I10" i="2"/>
  <c r="J10" i="2" s="1"/>
  <c r="M10" i="2" s="1"/>
  <c r="I9" i="2"/>
  <c r="J9" i="2" s="1"/>
  <c r="M9" i="2" s="1"/>
  <c r="I8" i="2"/>
  <c r="I6" i="2"/>
  <c r="I5" i="2"/>
  <c r="I13" i="2"/>
  <c r="J13" i="2" s="1"/>
  <c r="M13" i="2" s="1"/>
  <c r="R38" i="2" l="1"/>
  <c r="C23" i="6"/>
  <c r="C26" i="5"/>
  <c r="E26" i="5" s="1"/>
  <c r="F26" i="5" s="1"/>
  <c r="I39" i="1"/>
  <c r="G39" i="1"/>
  <c r="G48" i="5"/>
  <c r="C14" i="5"/>
  <c r="E14" i="5" s="1"/>
  <c r="F14" i="5" s="1"/>
  <c r="E43" i="5" s="1"/>
  <c r="G43" i="5" s="1"/>
  <c r="C14" i="6"/>
  <c r="C14" i="7"/>
  <c r="C11" i="4"/>
  <c r="J5" i="2"/>
  <c r="C22" i="6"/>
  <c r="C22" i="7"/>
  <c r="C22" i="5"/>
  <c r="E22" i="5" s="1"/>
  <c r="F22" i="5" s="1"/>
  <c r="C21" i="5"/>
  <c r="E21" i="5" s="1"/>
  <c r="F21" i="5" s="1"/>
  <c r="F50" i="5" s="1"/>
  <c r="C21" i="7"/>
  <c r="C21" i="6"/>
  <c r="E21" i="6" s="1"/>
  <c r="C21" i="4"/>
  <c r="E21" i="4" s="1"/>
  <c r="I21" i="4" s="1"/>
  <c r="S20" i="2"/>
  <c r="T20" i="2" s="1"/>
  <c r="C16" i="5"/>
  <c r="E16" i="5" s="1"/>
  <c r="F16" i="5" s="1"/>
  <c r="E45" i="5" s="1"/>
  <c r="G45" i="5" s="1"/>
  <c r="C16" i="6"/>
  <c r="C16" i="7"/>
  <c r="C12" i="4"/>
  <c r="I23" i="2"/>
  <c r="J12" i="2"/>
  <c r="M12" i="2" s="1"/>
  <c r="R13" i="2"/>
  <c r="C14" i="4"/>
  <c r="E14" i="4" s="1"/>
  <c r="I14" i="4" s="1"/>
  <c r="J14" i="10" s="1"/>
  <c r="S21" i="2"/>
  <c r="C22" i="4"/>
  <c r="T15" i="2"/>
  <c r="C16" i="4"/>
  <c r="P9" i="2"/>
  <c r="Q9" i="2"/>
  <c r="Q10" i="2"/>
  <c r="P10" i="2"/>
  <c r="E19" i="6"/>
  <c r="G19" i="6"/>
  <c r="G15" i="6"/>
  <c r="E15" i="6"/>
  <c r="E20" i="6"/>
  <c r="G20" i="6"/>
  <c r="E20" i="4"/>
  <c r="I20" i="4" s="1"/>
  <c r="C16" i="10"/>
  <c r="E15" i="4"/>
  <c r="I15" i="4" s="1"/>
  <c r="E19" i="4"/>
  <c r="I19" i="4" s="1"/>
  <c r="C21" i="10"/>
  <c r="J8" i="2"/>
  <c r="J4" i="2"/>
  <c r="M4" i="2" s="1"/>
  <c r="J6" i="2"/>
  <c r="T13" i="2" l="1"/>
  <c r="R23" i="2"/>
  <c r="R33" i="2" s="1"/>
  <c r="G23" i="6"/>
  <c r="E23" i="6"/>
  <c r="F54" i="5"/>
  <c r="E54" i="5"/>
  <c r="T21" i="2"/>
  <c r="S23" i="2"/>
  <c r="R35" i="2" s="1"/>
  <c r="F51" i="5"/>
  <c r="G51" i="5" s="1"/>
  <c r="S4" i="2"/>
  <c r="M37" i="2" s="1"/>
  <c r="I28" i="1" s="1"/>
  <c r="R4" i="2"/>
  <c r="L37" i="2" s="1"/>
  <c r="Q4" i="2"/>
  <c r="K37" i="2" s="1"/>
  <c r="P4" i="2"/>
  <c r="T9" i="2"/>
  <c r="C13" i="7"/>
  <c r="C13" i="5"/>
  <c r="E13" i="5" s="1"/>
  <c r="F13" i="5" s="1"/>
  <c r="D42" i="5" s="1"/>
  <c r="C13" i="6"/>
  <c r="E13" i="6" s="1"/>
  <c r="G49" i="5"/>
  <c r="G50" i="5"/>
  <c r="T10" i="2"/>
  <c r="G21" i="6"/>
  <c r="H21" i="6" s="1"/>
  <c r="F47" i="6" s="1"/>
  <c r="C11" i="6"/>
  <c r="E11" i="6" s="1"/>
  <c r="C11" i="5"/>
  <c r="E11" i="5" s="1"/>
  <c r="F11" i="5" s="1"/>
  <c r="D40" i="5" s="1"/>
  <c r="C11" i="7"/>
  <c r="C10" i="6"/>
  <c r="E10" i="6" s="1"/>
  <c r="C10" i="5"/>
  <c r="E10" i="5" s="1"/>
  <c r="F10" i="5" s="1"/>
  <c r="D39" i="5" s="1"/>
  <c r="C10" i="7"/>
  <c r="M8" i="2"/>
  <c r="C10" i="4"/>
  <c r="G10" i="4" s="1"/>
  <c r="P11" i="2"/>
  <c r="C5" i="7"/>
  <c r="C5" i="6"/>
  <c r="C5" i="5"/>
  <c r="Q11" i="2"/>
  <c r="C12" i="7"/>
  <c r="C12" i="5"/>
  <c r="E12" i="5" s="1"/>
  <c r="F12" i="5" s="1"/>
  <c r="C41" i="5" s="1"/>
  <c r="C12" i="6"/>
  <c r="G12" i="6" s="1"/>
  <c r="C5" i="4"/>
  <c r="G5" i="4" s="1"/>
  <c r="C13" i="4"/>
  <c r="E13" i="4" s="1"/>
  <c r="I13" i="4" s="1"/>
  <c r="H15" i="6"/>
  <c r="E41" i="6" s="1"/>
  <c r="G41" i="6" s="1"/>
  <c r="H19" i="6"/>
  <c r="F45" i="6" s="1"/>
  <c r="H20" i="6"/>
  <c r="F46" i="6" s="1"/>
  <c r="C14" i="10"/>
  <c r="M14" i="10" s="1"/>
  <c r="E16" i="6"/>
  <c r="G16" i="6"/>
  <c r="E22" i="6"/>
  <c r="G22" i="6"/>
  <c r="E14" i="6"/>
  <c r="G14" i="6"/>
  <c r="C11" i="10"/>
  <c r="C12" i="10"/>
  <c r="E22" i="4"/>
  <c r="I22" i="4" s="1"/>
  <c r="F49" i="4"/>
  <c r="E11" i="4"/>
  <c r="I11" i="4" s="1"/>
  <c r="F48" i="4"/>
  <c r="E16" i="4"/>
  <c r="I16" i="4" s="1"/>
  <c r="E12" i="4"/>
  <c r="I12" i="4" s="1"/>
  <c r="F50" i="4"/>
  <c r="J13" i="10" l="1"/>
  <c r="D40" i="4"/>
  <c r="C40" i="4"/>
  <c r="J38" i="2"/>
  <c r="H23" i="6"/>
  <c r="F49" i="6" s="1"/>
  <c r="G30" i="1"/>
  <c r="L38" i="2"/>
  <c r="G54" i="5"/>
  <c r="I30" i="1"/>
  <c r="G13" i="6"/>
  <c r="H13" i="6" s="1"/>
  <c r="D39" i="6" s="1"/>
  <c r="G45" i="6"/>
  <c r="G47" i="6"/>
  <c r="T4" i="2"/>
  <c r="C40" i="5"/>
  <c r="G40" i="5" s="1"/>
  <c r="G11" i="6"/>
  <c r="H11" i="6" s="1"/>
  <c r="C37" i="6" s="1"/>
  <c r="T11" i="2"/>
  <c r="C42" i="5"/>
  <c r="G42" i="5" s="1"/>
  <c r="E10" i="4"/>
  <c r="I10" i="4" s="1"/>
  <c r="C39" i="5"/>
  <c r="G39" i="5" s="1"/>
  <c r="G10" i="6"/>
  <c r="H10" i="6" s="1"/>
  <c r="C36" i="6" s="1"/>
  <c r="C9" i="6"/>
  <c r="E9" i="6" s="1"/>
  <c r="C9" i="7"/>
  <c r="C9" i="5"/>
  <c r="E9" i="5" s="1"/>
  <c r="F9" i="5" s="1"/>
  <c r="D38" i="5" s="1"/>
  <c r="C9" i="4"/>
  <c r="E9" i="4" s="1"/>
  <c r="I9" i="4" s="1"/>
  <c r="D41" i="5"/>
  <c r="G41" i="5" s="1"/>
  <c r="E12" i="6"/>
  <c r="H12" i="6" s="1"/>
  <c r="D38" i="6" s="1"/>
  <c r="C13" i="10"/>
  <c r="M13" i="10" s="1"/>
  <c r="J20" i="10"/>
  <c r="M20" i="10" s="1"/>
  <c r="E44" i="4"/>
  <c r="G44" i="4" s="1"/>
  <c r="J15" i="10"/>
  <c r="M15" i="10" s="1"/>
  <c r="J18" i="10"/>
  <c r="M18" i="10" s="1"/>
  <c r="J19" i="10"/>
  <c r="M19" i="10" s="1"/>
  <c r="H22" i="6"/>
  <c r="F48" i="6" s="1"/>
  <c r="E5" i="5"/>
  <c r="F28" i="1"/>
  <c r="G5" i="6"/>
  <c r="E5" i="6"/>
  <c r="H14" i="6"/>
  <c r="E40" i="6" s="1"/>
  <c r="G40" i="6" s="1"/>
  <c r="H16" i="6"/>
  <c r="E42" i="6" s="1"/>
  <c r="G42" i="6" s="1"/>
  <c r="C10" i="10"/>
  <c r="J37" i="2"/>
  <c r="N37" i="2" s="1"/>
  <c r="C5" i="10"/>
  <c r="F51" i="4"/>
  <c r="G28" i="1"/>
  <c r="J12" i="10"/>
  <c r="M12" i="10" s="1"/>
  <c r="E5" i="4"/>
  <c r="I5" i="4" s="1"/>
  <c r="J11" i="10"/>
  <c r="M11" i="10" s="1"/>
  <c r="K38" i="2" l="1"/>
  <c r="E49" i="6"/>
  <c r="J39" i="1"/>
  <c r="Q23" i="2"/>
  <c r="P23" i="2"/>
  <c r="T8" i="2"/>
  <c r="T12" i="2"/>
  <c r="G49" i="4"/>
  <c r="G51" i="4"/>
  <c r="G48" i="4"/>
  <c r="G50" i="4"/>
  <c r="G46" i="6"/>
  <c r="G9" i="6"/>
  <c r="H9" i="6" s="1"/>
  <c r="E38" i="5"/>
  <c r="C38" i="5"/>
  <c r="D36" i="6"/>
  <c r="G36" i="6" s="1"/>
  <c r="F30" i="1"/>
  <c r="C39" i="6"/>
  <c r="G39" i="6" s="1"/>
  <c r="C38" i="6"/>
  <c r="G38" i="6" s="1"/>
  <c r="E45" i="4"/>
  <c r="G45" i="4" s="1"/>
  <c r="J16" i="10"/>
  <c r="M16" i="10" s="1"/>
  <c r="C39" i="4"/>
  <c r="J10" i="10"/>
  <c r="M10" i="10" s="1"/>
  <c r="J21" i="10"/>
  <c r="M21" i="10" s="1"/>
  <c r="D37" i="6"/>
  <c r="G37" i="6" s="1"/>
  <c r="H5" i="6"/>
  <c r="E28" i="1"/>
  <c r="J28" i="1" s="1"/>
  <c r="F5" i="5"/>
  <c r="C9" i="10"/>
  <c r="D39" i="4"/>
  <c r="C41" i="4"/>
  <c r="D41" i="4"/>
  <c r="N23" i="2" l="1"/>
  <c r="C31" i="6"/>
  <c r="D31" i="6"/>
  <c r="F31" i="6"/>
  <c r="E31" i="6"/>
  <c r="D34" i="5"/>
  <c r="E34" i="5"/>
  <c r="C34" i="5"/>
  <c r="F34" i="5"/>
  <c r="C34" i="4"/>
  <c r="E34" i="4"/>
  <c r="F34" i="4"/>
  <c r="D34" i="4"/>
  <c r="J5" i="10"/>
  <c r="M5" i="10" s="1"/>
  <c r="E35" i="6"/>
  <c r="F35" i="6"/>
  <c r="E38" i="4"/>
  <c r="F38" i="4"/>
  <c r="G48" i="6"/>
  <c r="G38" i="5"/>
  <c r="E30" i="1"/>
  <c r="G39" i="4"/>
  <c r="D38" i="4"/>
  <c r="J9" i="10"/>
  <c r="M9" i="10" s="1"/>
  <c r="C35" i="6"/>
  <c r="D35" i="6"/>
  <c r="G40" i="4"/>
  <c r="C38" i="4"/>
  <c r="G41" i="4"/>
  <c r="G38" i="4" l="1"/>
  <c r="G35" i="6"/>
  <c r="G34" i="5"/>
  <c r="G31" i="6"/>
  <c r="G34" i="4"/>
  <c r="E24" i="5"/>
  <c r="F24" i="5" s="1"/>
  <c r="Y5" i="2"/>
  <c r="K5" i="2" s="1"/>
  <c r="E53" i="5" l="1"/>
  <c r="D53" i="5"/>
  <c r="C53" i="5"/>
  <c r="M5" i="2"/>
  <c r="K23" i="2"/>
  <c r="Y23" i="2"/>
  <c r="R5" i="2" l="1"/>
  <c r="Q5" i="2"/>
  <c r="S5" i="2"/>
  <c r="P5" i="2"/>
  <c r="G53" i="5"/>
  <c r="C6" i="4"/>
  <c r="C6" i="10"/>
  <c r="C6" i="5"/>
  <c r="C6" i="7"/>
  <c r="C6" i="6"/>
  <c r="T5" i="2" l="1"/>
  <c r="E6" i="5"/>
  <c r="E6" i="6"/>
  <c r="G6" i="6"/>
  <c r="E6" i="4"/>
  <c r="I6" i="4" s="1"/>
  <c r="F6" i="5" l="1"/>
  <c r="G24" i="4"/>
  <c r="H6" i="6"/>
  <c r="E32" i="6" l="1"/>
  <c r="D32" i="6"/>
  <c r="C32" i="6"/>
  <c r="F32" i="6"/>
  <c r="E35" i="4"/>
  <c r="D35" i="4"/>
  <c r="F35" i="4"/>
  <c r="C35" i="4"/>
  <c r="J6" i="10"/>
  <c r="G35" i="4" l="1"/>
  <c r="G32" i="6"/>
  <c r="M6" i="10"/>
  <c r="AC6" i="2"/>
  <c r="L6" i="2" s="1"/>
  <c r="M6" i="2" l="1"/>
  <c r="L23" i="2"/>
  <c r="AC23" i="2"/>
  <c r="S6" i="2" l="1"/>
  <c r="M39" i="2" s="1"/>
  <c r="R6" i="2"/>
  <c r="L39" i="2" s="1"/>
  <c r="Q6" i="2"/>
  <c r="K39" i="2" s="1"/>
  <c r="P6" i="2"/>
  <c r="J39" i="2" s="1"/>
  <c r="M23" i="2"/>
  <c r="C7" i="7"/>
  <c r="C24" i="7" s="1"/>
  <c r="C7" i="10"/>
  <c r="C7" i="5"/>
  <c r="C27" i="5" s="1"/>
  <c r="C7" i="6"/>
  <c r="C7" i="4"/>
  <c r="T6" i="2" l="1"/>
  <c r="T23" i="2" s="1"/>
  <c r="I41" i="1"/>
  <c r="G7" i="6"/>
  <c r="G24" i="6" s="1"/>
  <c r="C24" i="6"/>
  <c r="E7" i="6"/>
  <c r="E7" i="5"/>
  <c r="E27" i="5" s="1"/>
  <c r="C23" i="10"/>
  <c r="G41" i="1"/>
  <c r="C24" i="4"/>
  <c r="E7" i="4"/>
  <c r="I7" i="4" s="1"/>
  <c r="F36" i="4" l="1"/>
  <c r="E36" i="4"/>
  <c r="K42" i="2"/>
  <c r="F41" i="1"/>
  <c r="F7" i="5"/>
  <c r="F28" i="5" s="1"/>
  <c r="M38" i="2"/>
  <c r="E24" i="4"/>
  <c r="H7" i="6"/>
  <c r="E24" i="6"/>
  <c r="E41" i="1"/>
  <c r="N39" i="2"/>
  <c r="R39" i="2" s="1"/>
  <c r="J42" i="2"/>
  <c r="E33" i="6" l="1"/>
  <c r="E50" i="6" s="1"/>
  <c r="G42" i="1" s="1"/>
  <c r="F33" i="6"/>
  <c r="J41" i="1"/>
  <c r="F29" i="1"/>
  <c r="E29" i="1"/>
  <c r="M42" i="2"/>
  <c r="F36" i="5"/>
  <c r="F55" i="5" s="1"/>
  <c r="I47" i="1" s="1"/>
  <c r="D36" i="5"/>
  <c r="D55" i="5" s="1"/>
  <c r="F47" i="1" s="1"/>
  <c r="E36" i="5"/>
  <c r="E55" i="5" s="1"/>
  <c r="G47" i="1" s="1"/>
  <c r="D33" i="6"/>
  <c r="D50" i="6" s="1"/>
  <c r="F42" i="1" s="1"/>
  <c r="C33" i="6"/>
  <c r="F50" i="6"/>
  <c r="I42" i="1" s="1"/>
  <c r="E54" i="4"/>
  <c r="G43" i="1" s="1"/>
  <c r="D36" i="4"/>
  <c r="D54" i="4" s="1"/>
  <c r="F43" i="1" s="1"/>
  <c r="C36" i="4"/>
  <c r="C36" i="5"/>
  <c r="J7" i="10"/>
  <c r="I26" i="4"/>
  <c r="I29" i="4" s="1"/>
  <c r="H25" i="6"/>
  <c r="F63" i="1" l="1"/>
  <c r="F65" i="1" s="1"/>
  <c r="F67" i="1" s="1"/>
  <c r="F72" i="1" s="1"/>
  <c r="G36" i="5"/>
  <c r="F54" i="4"/>
  <c r="I43" i="1" s="1"/>
  <c r="G33" i="6"/>
  <c r="G50" i="6" s="1"/>
  <c r="G36" i="4"/>
  <c r="G54" i="4" s="1"/>
  <c r="J23" i="10"/>
  <c r="M7" i="10"/>
  <c r="M23" i="10" s="1"/>
  <c r="G55" i="5"/>
  <c r="C55" i="5"/>
  <c r="F57" i="5" s="1"/>
  <c r="J30" i="1"/>
  <c r="N38" i="2"/>
  <c r="L42" i="2"/>
  <c r="C50" i="6"/>
  <c r="F52" i="6" s="1"/>
  <c r="C54" i="4"/>
  <c r="E43" i="1" s="1"/>
  <c r="I29" i="1" l="1"/>
  <c r="N44" i="2"/>
  <c r="J43" i="1"/>
  <c r="E47" i="1"/>
  <c r="G29" i="1"/>
  <c r="G63" i="1" s="1"/>
  <c r="N42" i="2"/>
  <c r="R37" i="2"/>
  <c r="R42" i="2" s="1"/>
  <c r="E42" i="1"/>
  <c r="J42" i="1" s="1"/>
  <c r="I63" i="1" l="1"/>
  <c r="I65" i="1" s="1"/>
  <c r="J47" i="1"/>
  <c r="E63" i="1"/>
  <c r="E65" i="1" s="1"/>
  <c r="J29" i="1"/>
  <c r="D42" i="2"/>
  <c r="G65" i="1"/>
  <c r="I67" i="1" l="1"/>
  <c r="I72" i="1"/>
  <c r="J65" i="1"/>
  <c r="J63" i="1"/>
  <c r="G67" i="1"/>
  <c r="G72" i="1"/>
  <c r="E67" i="1"/>
  <c r="E72" i="1" s="1"/>
  <c r="J24" i="1" l="1"/>
</calcChain>
</file>

<file path=xl/sharedStrings.xml><?xml version="1.0" encoding="utf-8"?>
<sst xmlns="http://schemas.openxmlformats.org/spreadsheetml/2006/main" count="921" uniqueCount="339">
  <si>
    <t>Service Charges</t>
  </si>
  <si>
    <t>User Fees</t>
  </si>
  <si>
    <t>Connections</t>
  </si>
  <si>
    <t>Reconnect Fees</t>
  </si>
  <si>
    <t>Water Fees &amp; Penalties</t>
  </si>
  <si>
    <t>Call Out/Closing Fees</t>
  </si>
  <si>
    <t>Property Taxes</t>
  </si>
  <si>
    <t>Wages - Manager</t>
  </si>
  <si>
    <t>Wages - Overtime</t>
  </si>
  <si>
    <t>Wages WSF</t>
  </si>
  <si>
    <t>Supplies</t>
  </si>
  <si>
    <t>Repairs</t>
  </si>
  <si>
    <t>Maintenance</t>
  </si>
  <si>
    <t>Engineering</t>
  </si>
  <si>
    <t>Utilities - All</t>
  </si>
  <si>
    <t>Wages - Office</t>
  </si>
  <si>
    <t>Payroll Taxes</t>
  </si>
  <si>
    <t>PERS Expense</t>
  </si>
  <si>
    <t>PERS Retiree Health Benefits</t>
  </si>
  <si>
    <t>Employee Benefits</t>
  </si>
  <si>
    <t>Unemployment Taxes</t>
  </si>
  <si>
    <t>Workers Compensation Ins.</t>
  </si>
  <si>
    <t>Insurance</t>
  </si>
  <si>
    <t>Office Expense</t>
  </si>
  <si>
    <t>Postage</t>
  </si>
  <si>
    <t>Auto Expense</t>
  </si>
  <si>
    <t>Equipment</t>
  </si>
  <si>
    <t>Legal Expense</t>
  </si>
  <si>
    <t>Professional Services</t>
  </si>
  <si>
    <t>Dues &amp; Fees</t>
  </si>
  <si>
    <t>Training &amp; Travel</t>
  </si>
  <si>
    <t>Other Expenses</t>
  </si>
  <si>
    <t>Total Revenues</t>
  </si>
  <si>
    <t>Acc. Code</t>
  </si>
  <si>
    <t>Wages</t>
  </si>
  <si>
    <t>General Manager</t>
  </si>
  <si>
    <t>Water</t>
  </si>
  <si>
    <t>Sanitation</t>
  </si>
  <si>
    <t>Fire</t>
  </si>
  <si>
    <t>Emergency Services Director</t>
  </si>
  <si>
    <t>Office Manager</t>
  </si>
  <si>
    <t>Secretary</t>
  </si>
  <si>
    <t>PIO/ Fire Prevention Assistant</t>
  </si>
  <si>
    <t>Lead Supervisor</t>
  </si>
  <si>
    <t>Field Supervisor</t>
  </si>
  <si>
    <t>Operator</t>
  </si>
  <si>
    <t>Seasonal Operator</t>
  </si>
  <si>
    <t>Salaried</t>
  </si>
  <si>
    <t>Longevity</t>
  </si>
  <si>
    <t>COLA</t>
  </si>
  <si>
    <r>
      <t xml:space="preserve">Firefighter/EMT </t>
    </r>
    <r>
      <rPr>
        <sz val="9"/>
        <color theme="1"/>
        <rFont val="Times New Roman"/>
        <family val="1"/>
      </rPr>
      <t>(MM)</t>
    </r>
  </si>
  <si>
    <t>$/hr</t>
  </si>
  <si>
    <t>Total</t>
  </si>
  <si>
    <t>Total Per Diem Costs</t>
  </si>
  <si>
    <t>~ Hours/ Year</t>
  </si>
  <si>
    <t>% Increase</t>
  </si>
  <si>
    <t>$ Increase</t>
  </si>
  <si>
    <t>Total Proposed Annual Cost</t>
  </si>
  <si>
    <t>Allocation Breakdown</t>
  </si>
  <si>
    <t>Annual $ Increase</t>
  </si>
  <si>
    <t>Duration, % of Year</t>
  </si>
  <si>
    <t>Adjusted Annual Cost</t>
  </si>
  <si>
    <t>Total Existing Staff Costs</t>
  </si>
  <si>
    <t>Revenues</t>
  </si>
  <si>
    <t xml:space="preserve"> Expenses</t>
  </si>
  <si>
    <t>Non-Perm Staff - Per Diem Wages</t>
  </si>
  <si>
    <t>Comments</t>
  </si>
  <si>
    <t>Position</t>
  </si>
  <si>
    <t>Holidays</t>
  </si>
  <si>
    <t>Hours</t>
  </si>
  <si>
    <r>
      <t xml:space="preserve">Holiday Pay-Outs </t>
    </r>
    <r>
      <rPr>
        <sz val="8"/>
        <color theme="1"/>
        <rFont val="Times New Roman"/>
        <family val="1"/>
      </rPr>
      <t>(Dec. each year)</t>
    </r>
  </si>
  <si>
    <t>Division Total</t>
  </si>
  <si>
    <t>Totals</t>
  </si>
  <si>
    <t>Contract Fire</t>
  </si>
  <si>
    <t>Grants</t>
  </si>
  <si>
    <t>Inspections</t>
  </si>
  <si>
    <t>Other Income, Strike Teams</t>
  </si>
  <si>
    <t>Solid Waste Franchise Fee</t>
  </si>
  <si>
    <t>Ambulance Revenue</t>
  </si>
  <si>
    <t>Contract Revenue: Lassen, Strike</t>
  </si>
  <si>
    <t>Retiree 1</t>
  </si>
  <si>
    <t>Retiree 2</t>
  </si>
  <si>
    <t>Retiree 3</t>
  </si>
  <si>
    <t>Medical</t>
  </si>
  <si>
    <t>Dental</t>
  </si>
  <si>
    <t>Monthly</t>
  </si>
  <si>
    <t>Quarterly</t>
  </si>
  <si>
    <t>Vision</t>
  </si>
  <si>
    <t>Annual</t>
  </si>
  <si>
    <t>PORAC Dues</t>
  </si>
  <si>
    <t>Total:</t>
  </si>
  <si>
    <t>Board Member 1</t>
  </si>
  <si>
    <t>Board Member 2</t>
  </si>
  <si>
    <t>Board Member 3</t>
  </si>
  <si>
    <t>Board Member 4</t>
  </si>
  <si>
    <t>Board Member 5</t>
  </si>
  <si>
    <t>FY Employee Benefits Total:</t>
  </si>
  <si>
    <t>6 Month Total:</t>
  </si>
  <si>
    <t>check</t>
  </si>
  <si>
    <t>Annual Allocations</t>
  </si>
  <si>
    <t>Check:</t>
  </si>
  <si>
    <r>
      <t xml:space="preserve">Fire Captain/EMT </t>
    </r>
    <r>
      <rPr>
        <sz val="9"/>
        <color theme="1"/>
        <rFont val="Times New Roman"/>
        <family val="1"/>
      </rPr>
      <t>(CD)</t>
    </r>
  </si>
  <si>
    <t>Retiree Total/Qtrly Payments:</t>
  </si>
  <si>
    <t>FY Retiree Total:</t>
  </si>
  <si>
    <t>FY Retiree Medical Total:</t>
  </si>
  <si>
    <t>Employee Total:</t>
  </si>
  <si>
    <t>PERS Retirement</t>
  </si>
  <si>
    <t>Annual Salary</t>
  </si>
  <si>
    <t>Employer % Contribution</t>
  </si>
  <si>
    <t xml:space="preserve">Total CPUD Contribution </t>
  </si>
  <si>
    <t>Employer $ Contribution</t>
  </si>
  <si>
    <t>FY Employee Total:</t>
  </si>
  <si>
    <t>Unfunded Liability</t>
  </si>
  <si>
    <t>PERS Expense Total</t>
  </si>
  <si>
    <t>Total PERS Expense:</t>
  </si>
  <si>
    <t>Total Existing Staff Costs:</t>
  </si>
  <si>
    <t>Approximate Cost/Month:</t>
  </si>
  <si>
    <t>CPUD Total Wages:</t>
  </si>
  <si>
    <t>Total Unfunded Liability:</t>
  </si>
  <si>
    <t>Totals:</t>
  </si>
  <si>
    <t>Firefighter Uniform allowance</t>
  </si>
  <si>
    <t>Firefighter Uniform Allowance</t>
  </si>
  <si>
    <t>Overtime Wages WSF</t>
  </si>
  <si>
    <t>office+On-call</t>
  </si>
  <si>
    <t>Workers Compensation</t>
  </si>
  <si>
    <t>Volunteers (4 @ $5000 ea)</t>
  </si>
  <si>
    <t>Board Members (5 @ $1000 ea)</t>
  </si>
  <si>
    <t>Employer Qtrly Payment</t>
  </si>
  <si>
    <t>Annual Total</t>
  </si>
  <si>
    <t>Quarterly Total</t>
  </si>
  <si>
    <t>Employer Annual Payment</t>
  </si>
  <si>
    <t>Annual Totals:</t>
  </si>
  <si>
    <t>check:</t>
  </si>
  <si>
    <t>Social Security Total $</t>
  </si>
  <si>
    <t>Social Security, %</t>
  </si>
  <si>
    <t>Medicare, %</t>
  </si>
  <si>
    <t>Medicare Total $</t>
  </si>
  <si>
    <t>Payroll Taxes Total</t>
  </si>
  <si>
    <t>Annual Total:</t>
  </si>
  <si>
    <t>Unemployment, %</t>
  </si>
  <si>
    <t>Unemployment, Maximum</t>
  </si>
  <si>
    <t>Unemployment Total</t>
  </si>
  <si>
    <t>Propane</t>
  </si>
  <si>
    <t>Garbage</t>
  </si>
  <si>
    <t>Cell Phone</t>
  </si>
  <si>
    <t>Provider</t>
  </si>
  <si>
    <t xml:space="preserve">Electricity </t>
  </si>
  <si>
    <t>PG&amp;E</t>
  </si>
  <si>
    <t>Hunt Propane</t>
  </si>
  <si>
    <t>Frontier</t>
  </si>
  <si>
    <t>Waste Management</t>
  </si>
  <si>
    <t>Satellite</t>
  </si>
  <si>
    <t>Dish</t>
  </si>
  <si>
    <t xml:space="preserve">Phone &amp; Internet </t>
  </si>
  <si>
    <t>FY Total</t>
  </si>
  <si>
    <t>Street Lights</t>
  </si>
  <si>
    <t>Total Utilities:</t>
  </si>
  <si>
    <t>FY Allocations</t>
  </si>
  <si>
    <t>Total Expenses:</t>
  </si>
  <si>
    <t>Fuel</t>
  </si>
  <si>
    <t>Service</t>
  </si>
  <si>
    <t>Tire Service</t>
  </si>
  <si>
    <t>Ed Staub &amp; Son Voyager Fleet Systems</t>
  </si>
  <si>
    <t>Plumas Tire</t>
  </si>
  <si>
    <t>varies</t>
  </si>
  <si>
    <t>Rentals</t>
  </si>
  <si>
    <t>EAN Services</t>
  </si>
  <si>
    <t xml:space="preserve">Miscellaneous </t>
  </si>
  <si>
    <t>Total Auto Expense:</t>
  </si>
  <si>
    <t>Wages-Lassen Contract</t>
  </si>
  <si>
    <t>Interest L.A.I.F.</t>
  </si>
  <si>
    <t>Interest Income</t>
  </si>
  <si>
    <t>Difference (Rev-Exp):</t>
  </si>
  <si>
    <t>FF Uniform Allowance</t>
  </si>
  <si>
    <t>Total Compensation</t>
  </si>
  <si>
    <t>Employee Total Compensation</t>
  </si>
  <si>
    <t>Mary Cheek, CPA</t>
  </si>
  <si>
    <t>Check</t>
  </si>
  <si>
    <t>FY Estimate</t>
  </si>
  <si>
    <t>Laboratory Testing</t>
  </si>
  <si>
    <t>Accounting</t>
  </si>
  <si>
    <t>Annual Audit</t>
  </si>
  <si>
    <t>Weed &amp; Pest Control</t>
  </si>
  <si>
    <t>Mario's Weed &amp; Pest</t>
  </si>
  <si>
    <t>Wittman Enterprises, LLC</t>
  </si>
  <si>
    <t>Ambulance Billing Support</t>
  </si>
  <si>
    <t>CPUD Billing Support</t>
  </si>
  <si>
    <t>Rodent Control</t>
  </si>
  <si>
    <t>Lakeside Construction</t>
  </si>
  <si>
    <t>Varies</t>
  </si>
  <si>
    <t>Snow Removal</t>
  </si>
  <si>
    <t>Plumas County Public Works</t>
  </si>
  <si>
    <t>Studies</t>
  </si>
  <si>
    <t xml:space="preserve">Collections &amp; Background </t>
  </si>
  <si>
    <t>Butte County &amp; Department of Justice</t>
  </si>
  <si>
    <t>Miscellanous</t>
  </si>
  <si>
    <t>Total O&amp;M to Capital Program:</t>
  </si>
  <si>
    <t>Fruit Growers Laboratory (FGL)</t>
  </si>
  <si>
    <t>Step Increase</t>
  </si>
  <si>
    <t>Salary to Calc</t>
  </si>
  <si>
    <t>Longevity Total</t>
  </si>
  <si>
    <t>Step Increase Total</t>
  </si>
  <si>
    <t>Rate</t>
  </si>
  <si>
    <t>`</t>
  </si>
  <si>
    <t>$/ Month</t>
  </si>
  <si>
    <t>Grant Expenses</t>
  </si>
  <si>
    <t>Fire Prevention Expenses</t>
  </si>
  <si>
    <t xml:space="preserve">Additional Certification Pay </t>
  </si>
  <si>
    <t>Transfer From Contract Fire Account:</t>
  </si>
  <si>
    <t>Special Licenses/   Certificates</t>
  </si>
  <si>
    <t>Special Assessments</t>
  </si>
  <si>
    <t>Ambulance Expense</t>
  </si>
  <si>
    <t>Contract Fire:</t>
  </si>
  <si>
    <t>Annexation Fees</t>
  </si>
  <si>
    <t>Fire Captain/EMT</t>
  </si>
  <si>
    <t xml:space="preserve">Firefighter/EMT </t>
  </si>
  <si>
    <t xml:space="preserve">Firefighter/Paramedic </t>
  </si>
  <si>
    <t>Firefighter/Paramedic</t>
  </si>
  <si>
    <t xml:space="preserve">Fire Captain/EMT </t>
  </si>
  <si>
    <r>
      <t xml:space="preserve">Firefighter/Paramedic </t>
    </r>
    <r>
      <rPr>
        <sz val="9"/>
        <color theme="1"/>
        <rFont val="Times New Roman"/>
        <family val="1"/>
      </rPr>
      <t xml:space="preserve"> </t>
    </r>
  </si>
  <si>
    <t xml:space="preserve">Firefighter/Paramedic  </t>
  </si>
  <si>
    <r>
      <t>Retiree 1</t>
    </r>
    <r>
      <rPr>
        <sz val="10"/>
        <color theme="1"/>
        <rFont val="Times New Roman"/>
        <family val="1"/>
      </rPr>
      <t xml:space="preserve"> </t>
    </r>
  </si>
  <si>
    <t xml:space="preserve">Retiree 2 </t>
  </si>
  <si>
    <t xml:space="preserve">Retiree 3 </t>
  </si>
  <si>
    <t>Air Ambulance</t>
  </si>
  <si>
    <t>Benefits Annual Allocations</t>
  </si>
  <si>
    <t>Ambulance</t>
  </si>
  <si>
    <t xml:space="preserve">Retiree 4 </t>
  </si>
  <si>
    <t>Bad Debt</t>
  </si>
  <si>
    <t>Street Lighting</t>
  </si>
  <si>
    <t>Street Light Rev., Other</t>
  </si>
  <si>
    <t>Fire Captian/EMT</t>
  </si>
  <si>
    <t>Firefighter/EMT</t>
  </si>
  <si>
    <t>Ambulance Wages:</t>
  </si>
  <si>
    <t>Fire Wages:</t>
  </si>
  <si>
    <t>Available to Capital Program:</t>
  </si>
  <si>
    <t>Contract Firefighters</t>
  </si>
  <si>
    <t>Lassen Contract Employees (65)</t>
  </si>
  <si>
    <t>Seasonal - Usually May-Nov (fire season, reimbursed by Lassen contract)</t>
  </si>
  <si>
    <t>Department</t>
  </si>
  <si>
    <t>Employee %        CPUD</t>
  </si>
  <si>
    <t xml:space="preserve">Employee $     </t>
  </si>
  <si>
    <t>Authorized Capital Expenses</t>
  </si>
  <si>
    <t>Retiree 4</t>
  </si>
  <si>
    <t xml:space="preserve">2912 hrs./yr </t>
  </si>
  <si>
    <t xml:space="preserve">FT Hours </t>
  </si>
  <si>
    <t xml:space="preserve">960 Hours </t>
  </si>
  <si>
    <t>PT Hours</t>
  </si>
  <si>
    <t>Retiree 5</t>
  </si>
  <si>
    <t xml:space="preserve">Retiree 6 </t>
  </si>
  <si>
    <t>Retiree 6</t>
  </si>
  <si>
    <t>PERS 457</t>
  </si>
  <si>
    <t>BarbaraM</t>
  </si>
  <si>
    <t>BobM</t>
  </si>
  <si>
    <t>BillT</t>
  </si>
  <si>
    <t>AndyC</t>
  </si>
  <si>
    <t>KarenL</t>
  </si>
  <si>
    <t>BrianH</t>
  </si>
  <si>
    <t>Retiree total</t>
  </si>
  <si>
    <t>Employee Total</t>
  </si>
  <si>
    <t>5 Perdiem EMT</t>
  </si>
  <si>
    <t>5 perdiem Medic</t>
  </si>
  <si>
    <t>Contract</t>
  </si>
  <si>
    <t>State Fund Interim</t>
  </si>
  <si>
    <t>UAL</t>
  </si>
  <si>
    <t>10 perdiem</t>
  </si>
  <si>
    <t>10 Perdiem</t>
  </si>
  <si>
    <t>10 perdiems</t>
  </si>
  <si>
    <t>per diem</t>
  </si>
  <si>
    <t>Operator JB</t>
  </si>
  <si>
    <t>Operator CP</t>
  </si>
  <si>
    <r>
      <t>Firefighter/EMT</t>
    </r>
    <r>
      <rPr>
        <sz val="9"/>
        <color theme="1"/>
        <rFont val="Times New Roman"/>
        <family val="1"/>
      </rPr>
      <t xml:space="preserve"> (DC)</t>
    </r>
  </si>
  <si>
    <r>
      <t xml:space="preserve">Firefighter/Paramedic </t>
    </r>
    <r>
      <rPr>
        <sz val="9"/>
        <color theme="1"/>
        <rFont val="Times New Roman"/>
        <family val="1"/>
      </rPr>
      <t>(RW)</t>
    </r>
  </si>
  <si>
    <r>
      <t xml:space="preserve">Firefighter/Paramedic </t>
    </r>
    <r>
      <rPr>
        <sz val="9"/>
        <color theme="1"/>
        <rFont val="Times New Roman"/>
        <family val="1"/>
      </rPr>
      <t xml:space="preserve"> (MT)</t>
    </r>
  </si>
  <si>
    <r>
      <t xml:space="preserve">Firefighter/Paramedic </t>
    </r>
    <r>
      <rPr>
        <sz val="9"/>
        <color theme="1"/>
        <rFont val="Times New Roman"/>
        <family val="1"/>
      </rPr>
      <t>(RJ)</t>
    </r>
  </si>
  <si>
    <t>MASA</t>
  </si>
  <si>
    <t>PERS        457   MATCH</t>
  </si>
  <si>
    <t xml:space="preserve"> </t>
  </si>
  <si>
    <t>Current Salary</t>
  </si>
  <si>
    <t>T-Mobile</t>
  </si>
  <si>
    <t>7/1/22-12/31/22</t>
  </si>
  <si>
    <t>1/1/23 - 6/30/23</t>
  </si>
  <si>
    <t>FY 22/23 Workers Compensation - State Fund Interim</t>
  </si>
  <si>
    <t>FY 22/23 PERS Expense</t>
  </si>
  <si>
    <t>FY 22/23 Benefits</t>
  </si>
  <si>
    <t>FY 22/23</t>
  </si>
  <si>
    <t>FY 22/23 Payroll Taxes</t>
  </si>
  <si>
    <t>FY 22/23 Utilities</t>
  </si>
  <si>
    <t>FY 22/23 Training &amp; Travel</t>
  </si>
  <si>
    <t>FY 22/23 Auto Expense</t>
  </si>
  <si>
    <t>All minus fuel</t>
  </si>
  <si>
    <t>FY 5 year average Allocation</t>
  </si>
  <si>
    <t xml:space="preserve">CSDA </t>
  </si>
  <si>
    <t xml:space="preserve"> Inspections, &amp; Testing</t>
  </si>
  <si>
    <t>Harris/MIP</t>
  </si>
  <si>
    <t>Failsafe, Zoll, Alpine</t>
  </si>
  <si>
    <t>Mindbank and Ray Morgan</t>
  </si>
  <si>
    <t>RTDennis Assoc.</t>
  </si>
  <si>
    <t>Website Support</t>
  </si>
  <si>
    <t>Call Log System</t>
  </si>
  <si>
    <t>Training and Scheduling</t>
  </si>
  <si>
    <t>Vector&amp;Target Solutions/Crew Sense</t>
  </si>
  <si>
    <t>none since 2017</t>
  </si>
  <si>
    <t xml:space="preserve">Computer Maintenance/Repair </t>
  </si>
  <si>
    <t>Membership / Subscriptions</t>
  </si>
  <si>
    <t>2912 hrs/yr</t>
  </si>
  <si>
    <t>Firefighter/EMT x2</t>
  </si>
  <si>
    <t xml:space="preserve">Per Diem Fire Medic </t>
  </si>
  <si>
    <t>Wages OOC OT</t>
  </si>
  <si>
    <t>Wages OOC Differencial</t>
  </si>
  <si>
    <t>CFD 38%</t>
  </si>
  <si>
    <t>incl taxes etc</t>
  </si>
  <si>
    <t>Streamline/Name Cheap</t>
  </si>
  <si>
    <t>Alert System and Dispatching</t>
  </si>
  <si>
    <t>I am responding &amp; Firenet Lassen</t>
  </si>
  <si>
    <t xml:space="preserve"> ESO Solutions Inc.</t>
  </si>
  <si>
    <t>Firefighter/EMT KA step A</t>
  </si>
  <si>
    <t>Management Company</t>
  </si>
  <si>
    <t>Sectaris/Adam Cox</t>
  </si>
  <si>
    <t>Seasonal</t>
  </si>
  <si>
    <t>10 lassen and a seasonal</t>
  </si>
  <si>
    <t>Seasonsal</t>
  </si>
  <si>
    <t>Bartel</t>
  </si>
  <si>
    <t>OPEB Analysis</t>
  </si>
  <si>
    <t xml:space="preserve">Well 1 </t>
  </si>
  <si>
    <t>computers and laptops added</t>
  </si>
  <si>
    <t>EMS Boundary Annex</t>
  </si>
  <si>
    <t>NST Engineering</t>
  </si>
  <si>
    <t>includes Golden Handshake</t>
  </si>
  <si>
    <t>SUSP Cal Rural Water</t>
  </si>
  <si>
    <t>DTA</t>
  </si>
  <si>
    <t>EMS/FIRE Parcel Tax</t>
  </si>
  <si>
    <t>KBK 6-23-2022 received</t>
  </si>
  <si>
    <t>KBK no match</t>
  </si>
  <si>
    <t>prermit 25K</t>
  </si>
  <si>
    <t xml:space="preserve">Operator </t>
  </si>
  <si>
    <t xml:space="preserve">Per Diem FF </t>
  </si>
  <si>
    <t xml:space="preserve">Per Diem EMT </t>
  </si>
  <si>
    <t>Per Diem EMT x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</si>
</sst>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0.0%"/>
    <numFmt numFmtId="167" formatCode="0.000%"/>
    <numFmt numFmtId="168" formatCode="&quot;$&quot;#,##0.0"/>
  </numFmts>
  <fonts count="14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2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2"/>
    </font>
    <font>
      <sz val="18"/>
      <color theme="1"/>
      <name val="Times New Roman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2"/>
    </font>
    <font>
      <sz val="12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65" fontId="0" fillId="0" borderId="2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3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/>
    </xf>
    <xf numFmtId="165" fontId="0" fillId="0" borderId="3" xfId="0" applyNumberFormat="1" applyBorder="1"/>
    <xf numFmtId="0" fontId="0" fillId="0" borderId="3" xfId="0" applyBorder="1"/>
    <xf numFmtId="0" fontId="5" fillId="0" borderId="0" xfId="0" applyFont="1" applyAlignment="1">
      <alignment horizontal="center"/>
    </xf>
    <xf numFmtId="164" fontId="0" fillId="0" borderId="2" xfId="0" applyNumberForma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5" fontId="1" fillId="0" borderId="0" xfId="0" applyNumberFormat="1" applyFont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10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165" fontId="0" fillId="0" borderId="4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4" xfId="0" applyBorder="1"/>
    <xf numFmtId="165" fontId="0" fillId="0" borderId="4" xfId="0" applyNumberFormat="1" applyBorder="1"/>
    <xf numFmtId="165" fontId="1" fillId="0" borderId="0" xfId="0" applyNumberFormat="1" applyFont="1" applyAlignment="1">
      <alignment horizontal="right"/>
    </xf>
    <xf numFmtId="5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65" fontId="1" fillId="0" borderId="4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5" fontId="0" fillId="3" borderId="4" xfId="0" applyNumberFormat="1" applyFill="1" applyBorder="1" applyAlignment="1" applyProtection="1">
      <alignment horizontal="center"/>
      <protection locked="0"/>
    </xf>
    <xf numFmtId="165" fontId="0" fillId="3" borderId="6" xfId="0" applyNumberFormat="1" applyFill="1" applyBorder="1" applyProtection="1">
      <protection locked="0"/>
    </xf>
    <xf numFmtId="165" fontId="0" fillId="3" borderId="6" xfId="0" applyNumberFormat="1" applyFill="1" applyBorder="1" applyAlignment="1" applyProtection="1">
      <alignment horizontal="center"/>
      <protection locked="0"/>
    </xf>
    <xf numFmtId="165" fontId="0" fillId="0" borderId="6" xfId="0" applyNumberFormat="1" applyBorder="1" applyAlignment="1">
      <alignment horizontal="center"/>
    </xf>
    <xf numFmtId="10" fontId="0" fillId="3" borderId="6" xfId="0" applyNumberFormat="1" applyFill="1" applyBorder="1" applyAlignment="1" applyProtection="1">
      <alignment horizontal="center"/>
      <protection locked="0"/>
    </xf>
    <xf numFmtId="166" fontId="0" fillId="3" borderId="6" xfId="0" applyNumberFormat="1" applyFill="1" applyBorder="1" applyAlignment="1" applyProtection="1">
      <alignment horizontal="center"/>
      <protection locked="0"/>
    </xf>
    <xf numFmtId="164" fontId="0" fillId="3" borderId="6" xfId="0" applyNumberFormat="1" applyFill="1" applyBorder="1" applyAlignment="1">
      <alignment horizontal="center"/>
    </xf>
    <xf numFmtId="3" fontId="0" fillId="3" borderId="6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4" fontId="0" fillId="3" borderId="6" xfId="0" applyNumberFormat="1" applyFill="1" applyBorder="1" applyAlignment="1" applyProtection="1">
      <alignment horizontal="center"/>
      <protection locked="0"/>
    </xf>
    <xf numFmtId="165" fontId="0" fillId="0" borderId="7" xfId="0" applyNumberFormat="1" applyBorder="1"/>
    <xf numFmtId="164" fontId="0" fillId="3" borderId="4" xfId="0" applyNumberFormat="1" applyFill="1" applyBorder="1" applyAlignment="1" applyProtection="1">
      <alignment horizontal="center"/>
      <protection locked="0"/>
    </xf>
    <xf numFmtId="165" fontId="0" fillId="3" borderId="4" xfId="0" applyNumberFormat="1" applyFill="1" applyBorder="1" applyAlignment="1" applyProtection="1">
      <alignment horizontal="center" vertical="center"/>
      <protection locked="0"/>
    </xf>
    <xf numFmtId="164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wrapText="1"/>
    </xf>
    <xf numFmtId="10" fontId="0" fillId="3" borderId="6" xfId="0" applyNumberFormat="1" applyFill="1" applyBorder="1" applyProtection="1">
      <protection locked="0"/>
    </xf>
    <xf numFmtId="165" fontId="9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166" fontId="0" fillId="3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165" fontId="9" fillId="0" borderId="0" xfId="0" applyNumberFormat="1" applyFont="1"/>
    <xf numFmtId="165" fontId="0" fillId="0" borderId="9" xfId="0" applyNumberFormat="1" applyBorder="1" applyAlignment="1">
      <alignment horizontal="center"/>
    </xf>
    <xf numFmtId="165" fontId="0" fillId="0" borderId="1" xfId="0" applyNumberFormat="1" applyBorder="1" applyAlignment="1" applyProtection="1">
      <alignment horizontal="center"/>
      <protection locked="0"/>
    </xf>
    <xf numFmtId="165" fontId="0" fillId="0" borderId="9" xfId="0" applyNumberForma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5" fontId="9" fillId="0" borderId="0" xfId="0" applyNumberFormat="1" applyFont="1" applyAlignment="1">
      <alignment horizontal="center"/>
    </xf>
    <xf numFmtId="165" fontId="0" fillId="0" borderId="6" xfId="0" applyNumberFormat="1" applyBorder="1" applyAlignment="1" applyProtection="1">
      <alignment horizontal="center"/>
      <protection locked="0"/>
    </xf>
    <xf numFmtId="165" fontId="9" fillId="0" borderId="0" xfId="0" applyNumberFormat="1" applyFont="1" applyAlignment="1">
      <alignment horizontal="center"/>
    </xf>
    <xf numFmtId="164" fontId="0" fillId="3" borderId="9" xfId="0" applyNumberFormat="1" applyFill="1" applyBorder="1" applyAlignment="1" applyProtection="1">
      <alignment horizontal="center"/>
      <protection locked="0"/>
    </xf>
    <xf numFmtId="165" fontId="0" fillId="3" borderId="9" xfId="0" applyNumberFormat="1" applyFill="1" applyBorder="1" applyAlignment="1" applyProtection="1">
      <alignment horizontal="center"/>
      <protection locked="0"/>
    </xf>
    <xf numFmtId="165" fontId="0" fillId="3" borderId="11" xfId="0" applyNumberFormat="1" applyFill="1" applyBorder="1" applyAlignment="1" applyProtection="1">
      <alignment horizontal="center"/>
      <protection locked="0"/>
    </xf>
    <xf numFmtId="166" fontId="0" fillId="0" borderId="6" xfId="0" applyNumberFormat="1" applyBorder="1" applyAlignment="1" applyProtection="1">
      <alignment horizontal="center"/>
      <protection locked="0"/>
    </xf>
    <xf numFmtId="165" fontId="0" fillId="3" borderId="6" xfId="0" applyNumberFormat="1" applyFill="1" applyBorder="1" applyAlignment="1">
      <alignment horizontal="center"/>
    </xf>
    <xf numFmtId="165" fontId="0" fillId="3" borderId="12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0" borderId="6" xfId="0" applyBorder="1"/>
    <xf numFmtId="165" fontId="0" fillId="0" borderId="0" xfId="0" applyNumberFormat="1" applyAlignment="1" applyProtection="1">
      <alignment horizontal="center"/>
      <protection locked="0"/>
    </xf>
    <xf numFmtId="165" fontId="0" fillId="3" borderId="11" xfId="0" applyNumberFormat="1" applyFill="1" applyBorder="1" applyAlignment="1">
      <alignment horizontal="center"/>
    </xf>
    <xf numFmtId="165" fontId="0" fillId="3" borderId="11" xfId="0" applyNumberFormat="1" applyFill="1" applyBorder="1"/>
    <xf numFmtId="10" fontId="0" fillId="3" borderId="0" xfId="0" applyNumberFormat="1" applyFill="1" applyAlignment="1" applyProtection="1">
      <alignment horizontal="center"/>
      <protection locked="0"/>
    </xf>
    <xf numFmtId="5" fontId="1" fillId="0" borderId="0" xfId="0" applyNumberFormat="1" applyFont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7" xfId="0" applyBorder="1"/>
    <xf numFmtId="10" fontId="0" fillId="0" borderId="0" xfId="0" applyNumberFormat="1" applyAlignment="1" applyProtection="1">
      <alignment horizontal="center"/>
      <protection locked="0"/>
    </xf>
    <xf numFmtId="165" fontId="0" fillId="5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Border="1" applyAlignment="1" applyProtection="1">
      <alignment horizontal="center"/>
      <protection locked="0"/>
    </xf>
    <xf numFmtId="5" fontId="0" fillId="3" borderId="6" xfId="1" applyNumberFormat="1" applyFont="1" applyFill="1" applyBorder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3" borderId="6" xfId="0" applyNumberFormat="1" applyFill="1" applyBorder="1" applyAlignment="1" applyProtection="1">
      <alignment horizontal="center"/>
    </xf>
    <xf numFmtId="168" fontId="0" fillId="0" borderId="0" xfId="0" applyNumberFormat="1"/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5" fontId="0" fillId="0" borderId="0" xfId="0" applyNumberFormat="1"/>
    <xf numFmtId="165" fontId="0" fillId="0" borderId="0" xfId="0" applyNumberFormat="1" applyAlignment="1">
      <alignment horizontal="center"/>
    </xf>
    <xf numFmtId="0" fontId="11" fillId="0" borderId="0" xfId="0" applyFont="1"/>
    <xf numFmtId="165" fontId="0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5" fontId="0" fillId="0" borderId="0" xfId="0" applyNumberFormat="1" applyFill="1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4" xfId="0" applyNumberFormat="1" applyBorder="1"/>
    <xf numFmtId="165" fontId="0" fillId="0" borderId="0" xfId="0" applyNumberFormat="1" applyAlignment="1">
      <alignment horizontal="center"/>
    </xf>
    <xf numFmtId="0" fontId="0" fillId="6" borderId="0" xfId="0" applyFill="1" applyAlignment="1">
      <alignment horizontal="center" wrapText="1"/>
    </xf>
    <xf numFmtId="165" fontId="0" fillId="7" borderId="12" xfId="0" applyNumberFormat="1" applyFill="1" applyBorder="1" applyAlignment="1" applyProtection="1">
      <alignment horizontal="center"/>
      <protection locked="0"/>
    </xf>
    <xf numFmtId="165" fontId="0" fillId="7" borderId="6" xfId="0" applyNumberFormat="1" applyFill="1" applyBorder="1" applyAlignment="1" applyProtection="1">
      <alignment horizontal="center"/>
      <protection locked="0"/>
    </xf>
    <xf numFmtId="165" fontId="12" fillId="7" borderId="6" xfId="0" applyNumberFormat="1" applyFont="1" applyFill="1" applyBorder="1" applyAlignment="1" applyProtection="1">
      <alignment horizontal="center"/>
      <protection locked="0"/>
    </xf>
    <xf numFmtId="165" fontId="12" fillId="3" borderId="6" xfId="0" applyNumberFormat="1" applyFont="1" applyFill="1" applyBorder="1" applyAlignment="1" applyProtection="1">
      <alignment horizontal="center"/>
      <protection locked="0"/>
    </xf>
    <xf numFmtId="167" fontId="12" fillId="0" borderId="0" xfId="0" applyNumberFormat="1" applyFont="1" applyAlignment="1">
      <alignment horizontal="center"/>
    </xf>
    <xf numFmtId="165" fontId="0" fillId="7" borderId="4" xfId="0" applyNumberFormat="1" applyFill="1" applyBorder="1" applyAlignment="1" applyProtection="1">
      <alignment horizontal="center"/>
      <protection locked="0"/>
    </xf>
    <xf numFmtId="0" fontId="0" fillId="7" borderId="4" xfId="0" applyFill="1" applyBorder="1" applyAlignment="1" applyProtection="1">
      <alignment horizontal="center"/>
      <protection locked="0"/>
    </xf>
    <xf numFmtId="165" fontId="0" fillId="3" borderId="4" xfId="0" applyNumberForma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165" fontId="0" fillId="7" borderId="4" xfId="0" applyNumberForma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 vertical="center"/>
    </xf>
    <xf numFmtId="164" fontId="0" fillId="7" borderId="4" xfId="0" applyNumberForma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10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65" fontId="0" fillId="0" borderId="2" xfId="0" applyNumberFormat="1" applyBorder="1" applyAlignment="1">
      <alignment horizontal="center"/>
    </xf>
    <xf numFmtId="165" fontId="13" fillId="7" borderId="6" xfId="0" applyNumberFormat="1" applyFont="1" applyFill="1" applyBorder="1" applyAlignment="1" applyProtection="1">
      <alignment horizontal="center"/>
      <protection locked="0"/>
    </xf>
    <xf numFmtId="0" fontId="12" fillId="0" borderId="0" xfId="0" applyFont="1"/>
    <xf numFmtId="165" fontId="13" fillId="3" borderId="6" xfId="0" applyNumberFormat="1" applyFont="1" applyFill="1" applyBorder="1" applyAlignment="1" applyProtection="1">
      <alignment horizontal="center"/>
      <protection locked="0"/>
    </xf>
    <xf numFmtId="165" fontId="13" fillId="3" borderId="6" xfId="0" applyNumberFormat="1" applyFont="1" applyFill="1" applyBorder="1" applyProtection="1">
      <protection locked="0"/>
    </xf>
    <xf numFmtId="165" fontId="13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  <xf numFmtId="165" fontId="12" fillId="3" borderId="4" xfId="0" applyNumberFormat="1" applyFont="1" applyFill="1" applyBorder="1" applyAlignment="1" applyProtection="1">
      <alignment horizontal="center" vertical="center"/>
      <protection locked="0"/>
    </xf>
    <xf numFmtId="165" fontId="12" fillId="7" borderId="4" xfId="0" applyNumberFormat="1" applyFont="1" applyFill="1" applyBorder="1" applyAlignment="1" applyProtection="1">
      <alignment horizontal="center" vertical="center"/>
      <protection locked="0"/>
    </xf>
    <xf numFmtId="165" fontId="12" fillId="3" borderId="4" xfId="0" applyNumberFormat="1" applyFont="1" applyFill="1" applyBorder="1" applyAlignment="1" applyProtection="1">
      <alignment horizontal="center"/>
      <protection locked="0"/>
    </xf>
    <xf numFmtId="0" fontId="13" fillId="0" borderId="0" xfId="0" applyFont="1"/>
    <xf numFmtId="165" fontId="13" fillId="3" borderId="6" xfId="0" applyNumberFormat="1" applyFont="1" applyFill="1" applyBorder="1" applyAlignment="1">
      <alignment horizontal="center"/>
    </xf>
    <xf numFmtId="10" fontId="0" fillId="3" borderId="0" xfId="0" applyNumberFormat="1" applyFill="1"/>
    <xf numFmtId="165" fontId="13" fillId="7" borderId="4" xfId="0" applyNumberFormat="1" applyFont="1" applyFill="1" applyBorder="1" applyAlignment="1" applyProtection="1">
      <alignment horizontal="center" vertical="center"/>
      <protection locked="0"/>
    </xf>
    <xf numFmtId="165" fontId="12" fillId="7" borderId="4" xfId="0" applyNumberFormat="1" applyFont="1" applyFill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center" vertical="center"/>
    </xf>
    <xf numFmtId="165" fontId="12" fillId="3" borderId="6" xfId="0" applyNumberFormat="1" applyFont="1" applyFill="1" applyBorder="1" applyAlignment="1" applyProtection="1">
      <alignment horizontal="center"/>
    </xf>
    <xf numFmtId="0" fontId="0" fillId="0" borderId="4" xfId="0" applyBorder="1" applyAlignment="1">
      <alignment horizontal="center"/>
    </xf>
    <xf numFmtId="165" fontId="12" fillId="0" borderId="6" xfId="0" applyNumberFormat="1" applyFont="1" applyBorder="1"/>
    <xf numFmtId="165" fontId="12" fillId="3" borderId="6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604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topLeftCell="A25" zoomScale="80" zoomScaleNormal="80" workbookViewId="0">
      <selection activeCell="O53" sqref="O53"/>
    </sheetView>
  </sheetViews>
  <sheetFormatPr defaultRowHeight="15.75" x14ac:dyDescent="0.25"/>
  <cols>
    <col min="1" max="1" width="5.625" style="1" customWidth="1"/>
    <col min="2" max="2" width="9.25" style="1" bestFit="1" customWidth="1"/>
    <col min="3" max="3" width="30.625" customWidth="1"/>
    <col min="4" max="4" width="10.625" customWidth="1"/>
    <col min="5" max="7" width="10.625" style="1" customWidth="1"/>
    <col min="8" max="8" width="11.375" bestFit="1" customWidth="1"/>
    <col min="9" max="9" width="10.875" customWidth="1"/>
    <col min="10" max="10" width="13.125" customWidth="1"/>
    <col min="11" max="11" width="8.375" style="1" bestFit="1" customWidth="1"/>
    <col min="12" max="13" width="9.875" bestFit="1" customWidth="1"/>
  </cols>
  <sheetData>
    <row r="1" spans="1:13" x14ac:dyDescent="0.25">
      <c r="A1" s="215" t="s">
        <v>285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3" x14ac:dyDescent="0.25">
      <c r="C2" s="115" t="s">
        <v>239</v>
      </c>
      <c r="D2" s="116">
        <v>100</v>
      </c>
      <c r="E2" s="1">
        <v>200</v>
      </c>
      <c r="F2" s="1">
        <v>300</v>
      </c>
      <c r="G2" s="1">
        <v>400</v>
      </c>
      <c r="H2" s="116">
        <v>500</v>
      </c>
      <c r="I2" s="116">
        <v>600</v>
      </c>
      <c r="J2" s="1"/>
      <c r="K2"/>
    </row>
    <row r="3" spans="1:13" s="6" customFormat="1" ht="31.5" x14ac:dyDescent="0.25">
      <c r="A3" s="7">
        <v>1</v>
      </c>
      <c r="B3" s="7" t="s">
        <v>33</v>
      </c>
      <c r="C3" s="12" t="s">
        <v>63</v>
      </c>
      <c r="D3" s="12" t="s">
        <v>229</v>
      </c>
      <c r="E3" s="12" t="s">
        <v>36</v>
      </c>
      <c r="F3" s="12" t="s">
        <v>37</v>
      </c>
      <c r="G3" s="12" t="s">
        <v>38</v>
      </c>
      <c r="H3" s="12" t="s">
        <v>73</v>
      </c>
      <c r="I3" s="12" t="s">
        <v>226</v>
      </c>
      <c r="J3" s="12" t="s">
        <v>52</v>
      </c>
    </row>
    <row r="4" spans="1:13" x14ac:dyDescent="0.25">
      <c r="A4" s="1">
        <v>2</v>
      </c>
      <c r="D4" s="116"/>
      <c r="H4" s="116"/>
      <c r="I4" s="1"/>
      <c r="J4" s="1"/>
      <c r="K4"/>
    </row>
    <row r="5" spans="1:13" x14ac:dyDescent="0.25">
      <c r="A5" s="1">
        <v>3</v>
      </c>
      <c r="B5" s="1">
        <v>40100</v>
      </c>
      <c r="C5" t="s">
        <v>0</v>
      </c>
      <c r="D5" s="103"/>
      <c r="E5" s="160">
        <v>577727</v>
      </c>
      <c r="F5" s="161">
        <v>545000</v>
      </c>
      <c r="G5" s="65"/>
      <c r="H5" s="64"/>
      <c r="I5" s="65"/>
      <c r="J5" s="5">
        <f>SUM(D5:I5)</f>
        <v>1122727</v>
      </c>
      <c r="K5"/>
    </row>
    <row r="6" spans="1:13" x14ac:dyDescent="0.25">
      <c r="A6" s="1">
        <v>4</v>
      </c>
      <c r="B6" s="1">
        <v>40150</v>
      </c>
      <c r="C6" t="s">
        <v>1</v>
      </c>
      <c r="D6" s="103"/>
      <c r="E6" s="102"/>
      <c r="F6" s="65"/>
      <c r="G6" s="65"/>
      <c r="H6" s="64"/>
      <c r="I6" s="65"/>
      <c r="J6" s="5">
        <f t="shared" ref="J6:J22" si="0">SUM(D6:I6)</f>
        <v>0</v>
      </c>
      <c r="K6"/>
    </row>
    <row r="7" spans="1:13" x14ac:dyDescent="0.25">
      <c r="A7" s="7">
        <v>5</v>
      </c>
      <c r="B7" s="1">
        <v>40200</v>
      </c>
      <c r="C7" t="s">
        <v>2</v>
      </c>
      <c r="D7" s="103"/>
      <c r="E7" s="102"/>
      <c r="F7" s="65"/>
      <c r="G7" s="65"/>
      <c r="H7" s="64"/>
      <c r="I7" s="65"/>
      <c r="J7" s="5">
        <f t="shared" si="0"/>
        <v>0</v>
      </c>
      <c r="K7"/>
    </row>
    <row r="8" spans="1:13" x14ac:dyDescent="0.25">
      <c r="A8" s="7">
        <v>6</v>
      </c>
      <c r="B8" s="1">
        <v>40350</v>
      </c>
      <c r="C8" t="s">
        <v>74</v>
      </c>
      <c r="D8" s="103"/>
      <c r="E8" s="102"/>
      <c r="F8" s="163">
        <v>0</v>
      </c>
      <c r="G8" s="182">
        <v>113000</v>
      </c>
      <c r="H8" s="185"/>
      <c r="I8" s="184">
        <v>0</v>
      </c>
      <c r="J8" s="5">
        <f t="shared" si="0"/>
        <v>113000</v>
      </c>
      <c r="K8" s="183" t="s">
        <v>332</v>
      </c>
      <c r="L8" s="183"/>
      <c r="M8" s="183"/>
    </row>
    <row r="9" spans="1:13" x14ac:dyDescent="0.25">
      <c r="A9" s="1">
        <v>7</v>
      </c>
      <c r="B9" s="1">
        <v>40400</v>
      </c>
      <c r="C9" t="s">
        <v>3</v>
      </c>
      <c r="D9" s="103"/>
      <c r="E9" s="102"/>
      <c r="F9" s="65"/>
      <c r="G9" s="65"/>
      <c r="H9" s="64"/>
      <c r="I9" s="65"/>
      <c r="J9" s="5">
        <f t="shared" si="0"/>
        <v>0</v>
      </c>
      <c r="K9"/>
    </row>
    <row r="10" spans="1:13" x14ac:dyDescent="0.25">
      <c r="A10" s="7">
        <v>8</v>
      </c>
      <c r="B10" s="1">
        <v>40500</v>
      </c>
      <c r="C10" t="s">
        <v>75</v>
      </c>
      <c r="D10" s="103"/>
      <c r="E10" s="102"/>
      <c r="F10" s="65"/>
      <c r="G10" s="65"/>
      <c r="H10" s="64"/>
      <c r="I10" s="65"/>
      <c r="J10" s="5">
        <f t="shared" si="0"/>
        <v>0</v>
      </c>
      <c r="K10"/>
    </row>
    <row r="11" spans="1:13" x14ac:dyDescent="0.25">
      <c r="A11" s="7">
        <v>9</v>
      </c>
      <c r="B11" s="1">
        <v>40600</v>
      </c>
      <c r="C11" t="s">
        <v>213</v>
      </c>
      <c r="D11" s="103"/>
      <c r="E11" s="102"/>
      <c r="F11" s="65"/>
      <c r="G11" s="65"/>
      <c r="H11" s="64"/>
      <c r="I11" s="65"/>
      <c r="J11" s="5">
        <f t="shared" si="0"/>
        <v>0</v>
      </c>
      <c r="K11"/>
    </row>
    <row r="12" spans="1:13" x14ac:dyDescent="0.25">
      <c r="A12" s="1">
        <v>10</v>
      </c>
      <c r="B12" s="1">
        <v>40610</v>
      </c>
      <c r="C12" t="s">
        <v>4</v>
      </c>
      <c r="D12" s="103"/>
      <c r="E12" s="102"/>
      <c r="F12" s="65"/>
      <c r="G12" s="65"/>
      <c r="H12" s="64"/>
      <c r="I12" s="65"/>
      <c r="J12" s="5">
        <f t="shared" si="0"/>
        <v>0</v>
      </c>
      <c r="K12"/>
    </row>
    <row r="13" spans="1:13" x14ac:dyDescent="0.25">
      <c r="A13" s="7">
        <v>11</v>
      </c>
      <c r="B13" s="1">
        <v>40630</v>
      </c>
      <c r="C13" t="s">
        <v>5</v>
      </c>
      <c r="D13" s="103"/>
      <c r="E13" s="102"/>
      <c r="F13" s="65"/>
      <c r="G13" s="65"/>
      <c r="H13" s="64"/>
      <c r="I13" s="65"/>
      <c r="J13" s="5">
        <f t="shared" si="0"/>
        <v>0</v>
      </c>
      <c r="K13"/>
    </row>
    <row r="14" spans="1:13" x14ac:dyDescent="0.25">
      <c r="A14" s="7">
        <v>12</v>
      </c>
      <c r="B14" s="1">
        <v>40700</v>
      </c>
      <c r="C14" t="s">
        <v>6</v>
      </c>
      <c r="D14" s="103"/>
      <c r="E14" s="160">
        <v>66000</v>
      </c>
      <c r="F14" s="161">
        <v>105000</v>
      </c>
      <c r="G14" s="161">
        <v>133000</v>
      </c>
      <c r="H14" s="64"/>
      <c r="I14" s="65"/>
      <c r="J14" s="5">
        <f t="shared" si="0"/>
        <v>304000</v>
      </c>
      <c r="K14"/>
    </row>
    <row r="15" spans="1:13" x14ac:dyDescent="0.25">
      <c r="A15" s="1">
        <v>13</v>
      </c>
      <c r="B15" s="1">
        <v>40750</v>
      </c>
      <c r="C15" t="s">
        <v>210</v>
      </c>
      <c r="D15" s="103"/>
      <c r="E15" s="102"/>
      <c r="F15" s="65"/>
      <c r="G15" s="161">
        <v>131245</v>
      </c>
      <c r="H15" s="64"/>
      <c r="I15" s="65"/>
      <c r="J15" s="5">
        <f t="shared" si="0"/>
        <v>131245</v>
      </c>
      <c r="K15"/>
    </row>
    <row r="16" spans="1:13" x14ac:dyDescent="0.25">
      <c r="A16" s="7">
        <v>14</v>
      </c>
      <c r="B16" s="1">
        <v>40800</v>
      </c>
      <c r="C16" t="s">
        <v>76</v>
      </c>
      <c r="D16" s="103"/>
      <c r="E16" s="102"/>
      <c r="F16" s="65"/>
      <c r="G16" s="182">
        <v>69000</v>
      </c>
      <c r="H16" s="64"/>
      <c r="I16" s="65">
        <v>0</v>
      </c>
      <c r="J16" s="5">
        <f t="shared" si="0"/>
        <v>69000</v>
      </c>
      <c r="K16"/>
    </row>
    <row r="17" spans="1:12" x14ac:dyDescent="0.25">
      <c r="A17" s="7">
        <v>15</v>
      </c>
      <c r="B17" s="1">
        <v>43800</v>
      </c>
      <c r="C17" t="s">
        <v>230</v>
      </c>
      <c r="D17" s="202">
        <v>32000</v>
      </c>
      <c r="E17" s="102"/>
      <c r="F17" s="65"/>
      <c r="G17" s="65"/>
      <c r="H17" s="64"/>
      <c r="I17" s="65"/>
      <c r="J17" s="5">
        <f t="shared" si="0"/>
        <v>32000</v>
      </c>
      <c r="K17"/>
    </row>
    <row r="18" spans="1:12" x14ac:dyDescent="0.25">
      <c r="A18" s="7">
        <v>16</v>
      </c>
      <c r="B18" s="1">
        <v>45100</v>
      </c>
      <c r="C18" t="s">
        <v>77</v>
      </c>
      <c r="D18" s="103"/>
      <c r="E18" s="102"/>
      <c r="F18" s="161">
        <v>5000</v>
      </c>
      <c r="G18" s="65"/>
      <c r="H18" s="64"/>
      <c r="I18" s="65"/>
      <c r="J18" s="5">
        <f t="shared" si="0"/>
        <v>5000</v>
      </c>
      <c r="K18"/>
    </row>
    <row r="19" spans="1:12" x14ac:dyDescent="0.25">
      <c r="A19" s="1">
        <v>17</v>
      </c>
      <c r="B19" s="1">
        <v>46000</v>
      </c>
      <c r="C19" t="s">
        <v>78</v>
      </c>
      <c r="D19" s="103"/>
      <c r="E19" s="102"/>
      <c r="F19" s="65"/>
      <c r="G19" s="65"/>
      <c r="H19" s="64"/>
      <c r="I19" s="161">
        <v>300000</v>
      </c>
      <c r="J19" s="5">
        <f t="shared" si="0"/>
        <v>300000</v>
      </c>
      <c r="K19"/>
    </row>
    <row r="20" spans="1:12" x14ac:dyDescent="0.25">
      <c r="A20" s="7">
        <v>18</v>
      </c>
      <c r="B20" s="1">
        <v>47000</v>
      </c>
      <c r="C20" t="s">
        <v>79</v>
      </c>
      <c r="D20" s="103"/>
      <c r="E20" s="102"/>
      <c r="F20" s="65"/>
      <c r="G20" s="182">
        <v>900000</v>
      </c>
      <c r="H20" s="182">
        <v>300000</v>
      </c>
      <c r="I20" s="182">
        <v>100000</v>
      </c>
      <c r="J20" s="5">
        <f t="shared" si="0"/>
        <v>1300000</v>
      </c>
      <c r="K20"/>
    </row>
    <row r="21" spans="1:12" x14ac:dyDescent="0.25">
      <c r="A21" s="7">
        <v>19</v>
      </c>
      <c r="B21" s="1">
        <v>70100</v>
      </c>
      <c r="C21" t="s">
        <v>171</v>
      </c>
      <c r="D21" s="103"/>
      <c r="E21" s="102"/>
      <c r="F21" s="161">
        <v>1525</v>
      </c>
      <c r="G21" s="65"/>
      <c r="H21" s="65">
        <v>0</v>
      </c>
      <c r="I21" s="65"/>
      <c r="J21" s="5">
        <f t="shared" si="0"/>
        <v>1525</v>
      </c>
      <c r="K21"/>
    </row>
    <row r="22" spans="1:12" x14ac:dyDescent="0.25">
      <c r="A22" s="7">
        <v>20</v>
      </c>
      <c r="B22" s="1">
        <v>70150</v>
      </c>
      <c r="C22" t="s">
        <v>170</v>
      </c>
      <c r="D22" s="103"/>
      <c r="E22" s="102"/>
      <c r="F22" s="65"/>
      <c r="G22" s="65"/>
      <c r="H22" s="64"/>
      <c r="I22" s="65"/>
      <c r="J22" s="5">
        <f t="shared" si="0"/>
        <v>0</v>
      </c>
      <c r="K22"/>
    </row>
    <row r="23" spans="1:12" x14ac:dyDescent="0.25">
      <c r="A23" s="1">
        <v>21</v>
      </c>
      <c r="I23" s="1"/>
      <c r="J23" s="1"/>
      <c r="K23"/>
    </row>
    <row r="24" spans="1:12" x14ac:dyDescent="0.25">
      <c r="A24" s="7">
        <v>22</v>
      </c>
      <c r="C24" s="3" t="s">
        <v>32</v>
      </c>
      <c r="D24" s="36">
        <f t="shared" ref="D24:J24" si="1">SUM(D5:D22)</f>
        <v>32000</v>
      </c>
      <c r="E24" s="53">
        <f t="shared" si="1"/>
        <v>643727</v>
      </c>
      <c r="F24" s="53">
        <f t="shared" si="1"/>
        <v>656525</v>
      </c>
      <c r="G24" s="53">
        <f>SUM(G5:G22)</f>
        <v>1346245</v>
      </c>
      <c r="H24" s="53">
        <f t="shared" si="1"/>
        <v>300000</v>
      </c>
      <c r="I24" s="132">
        <f>SUM(I5:I22)</f>
        <v>400000</v>
      </c>
      <c r="J24" s="36">
        <f t="shared" si="1"/>
        <v>3378497</v>
      </c>
      <c r="K24"/>
      <c r="L24" s="4">
        <f>SUM(D24:I24)</f>
        <v>3378497</v>
      </c>
    </row>
    <row r="25" spans="1:12" x14ac:dyDescent="0.25">
      <c r="A25" s="7">
        <v>23</v>
      </c>
      <c r="I25" s="1"/>
      <c r="J25" s="1"/>
      <c r="K25"/>
    </row>
    <row r="26" spans="1:12" s="6" customFormat="1" ht="31.5" x14ac:dyDescent="0.25">
      <c r="A26" s="7">
        <v>24</v>
      </c>
      <c r="B26" s="7"/>
      <c r="C26" s="12" t="s">
        <v>64</v>
      </c>
      <c r="D26" s="12" t="s">
        <v>229</v>
      </c>
      <c r="E26" s="12" t="s">
        <v>36</v>
      </c>
      <c r="F26" s="12" t="s">
        <v>37</v>
      </c>
      <c r="G26" s="12" t="s">
        <v>38</v>
      </c>
      <c r="H26" s="12" t="s">
        <v>73</v>
      </c>
      <c r="I26" s="12" t="s">
        <v>226</v>
      </c>
      <c r="J26" s="12" t="s">
        <v>52</v>
      </c>
    </row>
    <row r="27" spans="1:12" x14ac:dyDescent="0.25">
      <c r="A27" s="1">
        <v>25</v>
      </c>
      <c r="C27" s="2"/>
      <c r="D27" s="2"/>
      <c r="I27" s="1"/>
      <c r="J27" s="1"/>
      <c r="K27"/>
    </row>
    <row r="28" spans="1:12" x14ac:dyDescent="0.25">
      <c r="A28" s="7">
        <v>26</v>
      </c>
      <c r="B28" s="1">
        <v>50100</v>
      </c>
      <c r="C28" t="s">
        <v>7</v>
      </c>
      <c r="D28" s="104"/>
      <c r="E28" s="66">
        <f>Wages!J37</f>
        <v>0</v>
      </c>
      <c r="F28" s="66">
        <f>Wages!K37</f>
        <v>0</v>
      </c>
      <c r="G28" s="66">
        <f>Wages!L37</f>
        <v>0</v>
      </c>
      <c r="H28" s="66"/>
      <c r="I28" s="66">
        <f>Wages!M37</f>
        <v>0</v>
      </c>
      <c r="J28" s="66">
        <f>SUM(D28:I28)</f>
        <v>0</v>
      </c>
      <c r="K28"/>
    </row>
    <row r="29" spans="1:12" x14ac:dyDescent="0.25">
      <c r="A29" s="7">
        <v>27</v>
      </c>
      <c r="B29" s="1">
        <v>50195</v>
      </c>
      <c r="C29" t="s">
        <v>8</v>
      </c>
      <c r="D29" s="104"/>
      <c r="E29" s="66">
        <f>Wages!J44</f>
        <v>4900.0490000000009</v>
      </c>
      <c r="F29" s="66">
        <f>Wages!K44</f>
        <v>4900.0490000000009</v>
      </c>
      <c r="G29" s="66">
        <f>Wages!L44</f>
        <v>32092.475579999998</v>
      </c>
      <c r="H29" s="101">
        <v>1000</v>
      </c>
      <c r="I29" s="66">
        <f>Wages!M44</f>
        <v>9245.3532500000019</v>
      </c>
      <c r="J29" s="66">
        <f t="shared" ref="J29:J61" si="2">SUM(D29:I29)</f>
        <v>52137.926829999997</v>
      </c>
      <c r="K29"/>
    </row>
    <row r="30" spans="1:12" x14ac:dyDescent="0.25">
      <c r="A30" s="7">
        <v>28</v>
      </c>
      <c r="B30" s="1">
        <v>50200</v>
      </c>
      <c r="C30" t="s">
        <v>9</v>
      </c>
      <c r="D30" s="104"/>
      <c r="E30" s="66">
        <f>Wages!J38+Wages!J45</f>
        <v>70000.700000000012</v>
      </c>
      <c r="F30" s="66">
        <f>Wages!K38</f>
        <v>70000.700000000012</v>
      </c>
      <c r="G30" s="66">
        <f>Wages!R33</f>
        <v>324166.42</v>
      </c>
      <c r="H30" s="65">
        <v>0</v>
      </c>
      <c r="I30" s="66">
        <f>Wages!R35</f>
        <v>264152.95</v>
      </c>
      <c r="J30" s="66">
        <f t="shared" si="2"/>
        <v>728320.77</v>
      </c>
      <c r="K30"/>
    </row>
    <row r="31" spans="1:12" x14ac:dyDescent="0.25">
      <c r="A31" s="188">
        <v>29</v>
      </c>
      <c r="B31" s="187">
        <v>50250</v>
      </c>
      <c r="C31" t="s">
        <v>308</v>
      </c>
      <c r="D31" s="104"/>
      <c r="E31" s="101"/>
      <c r="F31" s="101"/>
      <c r="G31" s="101">
        <v>270000</v>
      </c>
      <c r="H31" s="65"/>
      <c r="I31" s="101">
        <v>0</v>
      </c>
      <c r="J31" s="66"/>
      <c r="K31" s="216" t="s">
        <v>310</v>
      </c>
    </row>
    <row r="32" spans="1:12" x14ac:dyDescent="0.25">
      <c r="A32" s="188">
        <v>30</v>
      </c>
      <c r="B32" s="187">
        <v>50275</v>
      </c>
      <c r="C32" t="s">
        <v>309</v>
      </c>
      <c r="D32" s="104"/>
      <c r="E32" s="101"/>
      <c r="F32" s="101"/>
      <c r="G32" s="101">
        <v>110000</v>
      </c>
      <c r="H32" s="65"/>
      <c r="I32" s="101">
        <v>0</v>
      </c>
      <c r="J32" s="66"/>
      <c r="K32" s="216"/>
    </row>
    <row r="33" spans="1:12" x14ac:dyDescent="0.25">
      <c r="A33" s="188">
        <v>31</v>
      </c>
      <c r="B33" s="1">
        <v>50400</v>
      </c>
      <c r="C33" t="s">
        <v>10</v>
      </c>
      <c r="D33" s="104"/>
      <c r="E33" s="161">
        <v>25000</v>
      </c>
      <c r="F33" s="161">
        <v>30000</v>
      </c>
      <c r="G33" s="161">
        <v>12000</v>
      </c>
      <c r="H33" s="161">
        <v>0</v>
      </c>
      <c r="I33" s="161">
        <v>9900</v>
      </c>
      <c r="J33" s="66">
        <f t="shared" si="2"/>
        <v>76900</v>
      </c>
      <c r="K33"/>
    </row>
    <row r="34" spans="1:12" x14ac:dyDescent="0.25">
      <c r="A34" s="188">
        <v>32</v>
      </c>
      <c r="B34" s="1">
        <v>50450</v>
      </c>
      <c r="C34" t="s">
        <v>11</v>
      </c>
      <c r="D34" s="104"/>
      <c r="E34" s="161">
        <v>40000</v>
      </c>
      <c r="F34" s="161">
        <v>20000</v>
      </c>
      <c r="G34" s="161">
        <v>2500</v>
      </c>
      <c r="H34" s="161"/>
      <c r="I34" s="161">
        <v>1600</v>
      </c>
      <c r="J34" s="66">
        <f t="shared" si="2"/>
        <v>64100</v>
      </c>
      <c r="K34"/>
    </row>
    <row r="35" spans="1:12" x14ac:dyDescent="0.25">
      <c r="A35" s="188">
        <v>33</v>
      </c>
      <c r="B35" s="1">
        <v>50500</v>
      </c>
      <c r="C35" t="s">
        <v>12</v>
      </c>
      <c r="D35" s="104"/>
      <c r="E35" s="161">
        <v>5000</v>
      </c>
      <c r="F35" s="161">
        <v>12450</v>
      </c>
      <c r="G35" s="161">
        <v>5640</v>
      </c>
      <c r="H35" s="161">
        <v>0</v>
      </c>
      <c r="I35" s="161">
        <v>2700</v>
      </c>
      <c r="J35" s="66">
        <f t="shared" si="2"/>
        <v>25790</v>
      </c>
      <c r="K35"/>
    </row>
    <row r="36" spans="1:12" x14ac:dyDescent="0.25">
      <c r="A36" s="188">
        <v>34</v>
      </c>
      <c r="B36" s="1">
        <v>50700</v>
      </c>
      <c r="C36" t="s">
        <v>13</v>
      </c>
      <c r="D36" s="104"/>
      <c r="E36" s="163">
        <v>2500</v>
      </c>
      <c r="F36" s="163">
        <v>5000</v>
      </c>
      <c r="G36" s="65">
        <v>0</v>
      </c>
      <c r="H36" s="65"/>
      <c r="I36" s="65">
        <v>0</v>
      </c>
      <c r="J36" s="66">
        <f t="shared" si="2"/>
        <v>7500</v>
      </c>
      <c r="K36" s="183"/>
    </row>
    <row r="37" spans="1:12" x14ac:dyDescent="0.25">
      <c r="A37" s="188">
        <v>35</v>
      </c>
      <c r="B37" s="1">
        <v>50800</v>
      </c>
      <c r="C37" t="s">
        <v>14</v>
      </c>
      <c r="D37" s="66">
        <f>'Utilities-Auto Expense'!E12</f>
        <v>26070</v>
      </c>
      <c r="E37" s="66">
        <f>'Utilities-Auto Expense'!F12</f>
        <v>98280</v>
      </c>
      <c r="F37" s="66">
        <f>'Utilities-Auto Expense'!G12</f>
        <v>33505</v>
      </c>
      <c r="G37" s="66">
        <f>'Utilities-Auto Expense'!H12</f>
        <v>11805</v>
      </c>
      <c r="H37" s="66">
        <f>'Utilities-Auto Expense'!J12</f>
        <v>120</v>
      </c>
      <c r="I37" s="66">
        <f>'Utilities-Auto Expense'!I12</f>
        <v>11510</v>
      </c>
      <c r="J37" s="66">
        <f t="shared" si="2"/>
        <v>181290</v>
      </c>
      <c r="K37"/>
    </row>
    <row r="38" spans="1:12" x14ac:dyDescent="0.25">
      <c r="A38" s="188">
        <v>36</v>
      </c>
      <c r="B38" s="1">
        <v>56000</v>
      </c>
      <c r="C38" t="s">
        <v>211</v>
      </c>
      <c r="D38" s="104"/>
      <c r="E38" s="66"/>
      <c r="F38" s="66"/>
      <c r="G38" s="95"/>
      <c r="H38" s="66"/>
      <c r="I38" s="101">
        <v>13000</v>
      </c>
      <c r="J38" s="66">
        <f t="shared" si="2"/>
        <v>13000</v>
      </c>
      <c r="K38"/>
    </row>
    <row r="39" spans="1:12" x14ac:dyDescent="0.25">
      <c r="A39" s="188">
        <v>37</v>
      </c>
      <c r="B39" s="1">
        <v>56500</v>
      </c>
      <c r="C39" t="s">
        <v>65</v>
      </c>
      <c r="D39" s="104"/>
      <c r="E39" s="66">
        <f>Wages!D8</f>
        <v>5000</v>
      </c>
      <c r="F39" s="66">
        <f>Wages!E8</f>
        <v>5000</v>
      </c>
      <c r="G39" s="66">
        <f>Wages!E39*0.5</f>
        <v>6840</v>
      </c>
      <c r="H39" s="66"/>
      <c r="I39" s="66">
        <f>Wages!E39*0.5</f>
        <v>6840</v>
      </c>
      <c r="J39" s="66">
        <f t="shared" si="2"/>
        <v>23680</v>
      </c>
      <c r="K39"/>
    </row>
    <row r="40" spans="1:12" x14ac:dyDescent="0.25">
      <c r="A40" s="188">
        <v>38</v>
      </c>
      <c r="B40" s="1">
        <v>57000</v>
      </c>
      <c r="C40" t="s">
        <v>169</v>
      </c>
      <c r="D40" s="104"/>
      <c r="E40" s="66"/>
      <c r="F40" s="66"/>
      <c r="G40" s="186">
        <v>0</v>
      </c>
      <c r="H40" s="184">
        <v>245250</v>
      </c>
      <c r="I40" s="186">
        <v>0</v>
      </c>
      <c r="J40" s="66">
        <f t="shared" si="2"/>
        <v>245250</v>
      </c>
      <c r="K40" s="176">
        <v>0.1825</v>
      </c>
      <c r="L40" t="s">
        <v>311</v>
      </c>
    </row>
    <row r="41" spans="1:12" x14ac:dyDescent="0.25">
      <c r="A41" s="188">
        <v>39</v>
      </c>
      <c r="B41" s="1">
        <v>60100</v>
      </c>
      <c r="C41" t="s">
        <v>15</v>
      </c>
      <c r="D41" s="104"/>
      <c r="E41" s="66">
        <f>Wages!J39+Wages!J40</f>
        <v>32273.1</v>
      </c>
      <c r="F41" s="66">
        <f>Wages!K39+Wages!K40</f>
        <v>32273.1</v>
      </c>
      <c r="G41" s="66">
        <f>Wages!L39</f>
        <v>24327.5</v>
      </c>
      <c r="H41" s="65">
        <v>0</v>
      </c>
      <c r="I41" s="66">
        <f>Wages!M39</f>
        <v>18703.3</v>
      </c>
      <c r="J41" s="66">
        <f t="shared" si="2"/>
        <v>107577</v>
      </c>
      <c r="K41"/>
    </row>
    <row r="42" spans="1:12" x14ac:dyDescent="0.25">
      <c r="A42" s="188">
        <v>40</v>
      </c>
      <c r="B42" s="1">
        <v>60300</v>
      </c>
      <c r="C42" t="s">
        <v>16</v>
      </c>
      <c r="D42" s="104"/>
      <c r="E42" s="66">
        <f>'Payroll Taxes'!C50</f>
        <v>8321.1957000000002</v>
      </c>
      <c r="F42" s="66">
        <f>'Payroll Taxes'!D50</f>
        <v>8321.1957000000002</v>
      </c>
      <c r="G42" s="66">
        <f>'Payroll Taxes'!E50</f>
        <v>25846.259399999999</v>
      </c>
      <c r="H42" s="65">
        <v>0</v>
      </c>
      <c r="I42" s="66">
        <f>'Payroll Taxes'!F50</f>
        <v>20812.584644999999</v>
      </c>
      <c r="J42" s="66">
        <f t="shared" si="2"/>
        <v>63301.235444999998</v>
      </c>
      <c r="K42"/>
    </row>
    <row r="43" spans="1:12" x14ac:dyDescent="0.25">
      <c r="A43" s="188">
        <v>41</v>
      </c>
      <c r="B43" s="1">
        <v>60325</v>
      </c>
      <c r="C43" t="s">
        <v>17</v>
      </c>
      <c r="D43" s="104"/>
      <c r="E43" s="66">
        <f>PERS!C54</f>
        <v>25895.857217999997</v>
      </c>
      <c r="F43" s="66">
        <f>PERS!D54</f>
        <v>25895.857217999997</v>
      </c>
      <c r="G43" s="66">
        <f>PERS!E54</f>
        <v>128393.56462599999</v>
      </c>
      <c r="H43" s="129"/>
      <c r="I43" s="66">
        <f>PERS!F54</f>
        <v>110145.64146300001</v>
      </c>
      <c r="J43" s="66">
        <f t="shared" si="2"/>
        <v>290330.92052499996</v>
      </c>
      <c r="K43"/>
    </row>
    <row r="44" spans="1:12" x14ac:dyDescent="0.25">
      <c r="A44" s="188">
        <v>42</v>
      </c>
      <c r="B44" s="1">
        <v>60350</v>
      </c>
      <c r="C44" t="s">
        <v>18</v>
      </c>
      <c r="D44" s="104"/>
      <c r="E44" s="66">
        <f>Benefits!C263</f>
        <v>12957.681</v>
      </c>
      <c r="F44" s="66">
        <f>Benefits!D263</f>
        <v>12957.681</v>
      </c>
      <c r="G44" s="66">
        <f>Benefits!E263</f>
        <v>22788</v>
      </c>
      <c r="H44" s="66"/>
      <c r="I44" s="66">
        <f>Benefits!F263</f>
        <v>16480.800000000003</v>
      </c>
      <c r="J44" s="66">
        <f t="shared" si="2"/>
        <v>65184.162000000004</v>
      </c>
      <c r="K44"/>
    </row>
    <row r="45" spans="1:12" x14ac:dyDescent="0.25">
      <c r="A45" s="188">
        <v>43</v>
      </c>
      <c r="B45" s="1">
        <v>60400</v>
      </c>
      <c r="C45" t="s">
        <v>19</v>
      </c>
      <c r="D45" s="104"/>
      <c r="E45" s="66">
        <f>Benefits!C264</f>
        <v>31397.996999999999</v>
      </c>
      <c r="F45" s="66">
        <f>Benefits!D264</f>
        <v>31397.996999999999</v>
      </c>
      <c r="G45" s="66">
        <f>Benefits!E264</f>
        <v>142665.52299999999</v>
      </c>
      <c r="H45" s="66"/>
      <c r="I45" s="66">
        <f>Benefits!F264</f>
        <v>102167.92300000001</v>
      </c>
      <c r="J45" s="66">
        <f t="shared" si="2"/>
        <v>307629.44</v>
      </c>
      <c r="K45"/>
    </row>
    <row r="46" spans="1:12" x14ac:dyDescent="0.25">
      <c r="A46" s="188">
        <v>44</v>
      </c>
      <c r="B46" s="1">
        <v>60500</v>
      </c>
      <c r="C46" t="s">
        <v>20</v>
      </c>
      <c r="D46" s="104"/>
      <c r="E46" s="66">
        <f>'Unemployment Taxes'!C51</f>
        <v>1302</v>
      </c>
      <c r="F46" s="66">
        <f>'Unemployment Taxes'!D51</f>
        <v>1302</v>
      </c>
      <c r="G46" s="66">
        <f>'Unemployment Taxes'!E51</f>
        <v>4557</v>
      </c>
      <c r="H46" s="66">
        <v>0</v>
      </c>
      <c r="I46" s="66">
        <f>'Unemployment Taxes'!G51</f>
        <v>6076</v>
      </c>
      <c r="J46" s="66">
        <f t="shared" si="2"/>
        <v>13237</v>
      </c>
      <c r="K46"/>
    </row>
    <row r="47" spans="1:12" x14ac:dyDescent="0.25">
      <c r="A47" s="188">
        <v>45</v>
      </c>
      <c r="B47" s="1">
        <v>60600</v>
      </c>
      <c r="C47" t="s">
        <v>21</v>
      </c>
      <c r="D47" s="104"/>
      <c r="E47" s="66">
        <f>'Workers Comp'!C55</f>
        <v>13387.6909504</v>
      </c>
      <c r="F47" s="66">
        <f>'Workers Comp'!D55</f>
        <v>13442.474950399999</v>
      </c>
      <c r="G47" s="66">
        <f>'Workers Comp'!E55</f>
        <v>86254.262227199986</v>
      </c>
      <c r="H47" s="65">
        <v>0</v>
      </c>
      <c r="I47" s="66">
        <f>'Workers Comp'!F55</f>
        <v>68789.891913600004</v>
      </c>
      <c r="J47" s="66">
        <f t="shared" si="2"/>
        <v>181874.32004159997</v>
      </c>
      <c r="K47"/>
    </row>
    <row r="48" spans="1:12" x14ac:dyDescent="0.25">
      <c r="A48" s="188">
        <v>46</v>
      </c>
      <c r="B48" s="1">
        <v>60700</v>
      </c>
      <c r="C48" t="s">
        <v>22</v>
      </c>
      <c r="D48" s="104"/>
      <c r="E48" s="163">
        <v>12000</v>
      </c>
      <c r="F48" s="163">
        <v>12000</v>
      </c>
      <c r="G48" s="163">
        <v>60000</v>
      </c>
      <c r="H48" s="163"/>
      <c r="I48" s="163">
        <v>60000</v>
      </c>
      <c r="J48" s="66">
        <f t="shared" si="2"/>
        <v>144000</v>
      </c>
      <c r="K48"/>
    </row>
    <row r="49" spans="1:14" x14ac:dyDescent="0.25">
      <c r="A49" s="188">
        <v>47</v>
      </c>
      <c r="B49" s="1">
        <v>60800</v>
      </c>
      <c r="C49" t="s">
        <v>23</v>
      </c>
      <c r="D49" s="66">
        <v>0</v>
      </c>
      <c r="E49" s="161">
        <v>0</v>
      </c>
      <c r="F49" s="161">
        <v>0</v>
      </c>
      <c r="G49" s="161">
        <v>0</v>
      </c>
      <c r="H49" s="161">
        <v>0</v>
      </c>
      <c r="I49" s="161">
        <v>0</v>
      </c>
      <c r="J49" s="66">
        <f t="shared" si="2"/>
        <v>0</v>
      </c>
      <c r="K49"/>
    </row>
    <row r="50" spans="1:14" x14ac:dyDescent="0.25">
      <c r="A50" s="188">
        <v>48</v>
      </c>
      <c r="B50" s="1">
        <v>60825</v>
      </c>
      <c r="C50" t="s">
        <v>205</v>
      </c>
      <c r="D50" s="104"/>
      <c r="E50" s="163"/>
      <c r="F50" s="199">
        <f>F8</f>
        <v>0</v>
      </c>
      <c r="G50" s="184">
        <v>113000</v>
      </c>
      <c r="H50" s="184"/>
      <c r="I50" s="184">
        <v>0</v>
      </c>
      <c r="J50" s="66">
        <f t="shared" si="2"/>
        <v>113000</v>
      </c>
      <c r="K50" t="s">
        <v>333</v>
      </c>
    </row>
    <row r="51" spans="1:14" x14ac:dyDescent="0.25">
      <c r="A51" s="188">
        <v>49</v>
      </c>
      <c r="B51" s="1">
        <v>60900</v>
      </c>
      <c r="C51" t="s">
        <v>24</v>
      </c>
      <c r="D51" s="104"/>
      <c r="E51" s="161">
        <v>3260</v>
      </c>
      <c r="F51" s="161">
        <v>3200</v>
      </c>
      <c r="G51" s="161">
        <v>500</v>
      </c>
      <c r="H51" s="161">
        <v>300</v>
      </c>
      <c r="I51" s="161">
        <v>400</v>
      </c>
      <c r="J51" s="66">
        <f t="shared" si="2"/>
        <v>7660</v>
      </c>
      <c r="K51"/>
    </row>
    <row r="52" spans="1:14" x14ac:dyDescent="0.25">
      <c r="A52" s="188">
        <v>50</v>
      </c>
      <c r="B52" s="1">
        <v>61100</v>
      </c>
      <c r="C52" t="s">
        <v>25</v>
      </c>
      <c r="D52" s="104"/>
      <c r="E52" s="168">
        <f>'Utilities-Auto Expense'!F26</f>
        <v>7125</v>
      </c>
      <c r="F52" s="168">
        <f>'Utilities-Auto Expense'!G26</f>
        <v>7125</v>
      </c>
      <c r="G52" s="168">
        <f>'Utilities-Auto Expense'!H26</f>
        <v>15650</v>
      </c>
      <c r="H52" s="168">
        <f>'Utilities-Auto Expense'!J26</f>
        <v>3000</v>
      </c>
      <c r="I52" s="168">
        <f>'Utilities-Auto Expense'!I26</f>
        <v>6350</v>
      </c>
      <c r="J52" s="66">
        <f t="shared" si="2"/>
        <v>39250</v>
      </c>
      <c r="K52"/>
    </row>
    <row r="53" spans="1:14" x14ac:dyDescent="0.25">
      <c r="A53" s="188">
        <v>51</v>
      </c>
      <c r="B53" s="1">
        <v>61200</v>
      </c>
      <c r="C53" t="s">
        <v>26</v>
      </c>
      <c r="D53" s="104"/>
      <c r="E53" s="184">
        <v>22550</v>
      </c>
      <c r="F53" s="184">
        <v>22550</v>
      </c>
      <c r="G53" s="184">
        <v>23750</v>
      </c>
      <c r="H53" s="184">
        <v>0</v>
      </c>
      <c r="I53" s="184">
        <v>28750</v>
      </c>
      <c r="J53" s="66">
        <f t="shared" si="2"/>
        <v>97600</v>
      </c>
      <c r="K53" t="s">
        <v>325</v>
      </c>
      <c r="N53" t="s">
        <v>334</v>
      </c>
    </row>
    <row r="54" spans="1:14" x14ac:dyDescent="0.25">
      <c r="A54" s="188">
        <v>52</v>
      </c>
      <c r="B54" s="1">
        <v>61250</v>
      </c>
      <c r="C54" s="193" t="s">
        <v>27</v>
      </c>
      <c r="D54" s="201">
        <v>1000</v>
      </c>
      <c r="E54" s="162">
        <v>5000</v>
      </c>
      <c r="F54" s="162">
        <v>5000</v>
      </c>
      <c r="G54" s="162">
        <v>5000</v>
      </c>
      <c r="H54" s="162">
        <v>0</v>
      </c>
      <c r="I54" s="162">
        <v>2000</v>
      </c>
      <c r="J54" s="66">
        <f t="shared" si="2"/>
        <v>18000</v>
      </c>
      <c r="K54"/>
    </row>
    <row r="55" spans="1:14" x14ac:dyDescent="0.25">
      <c r="A55" s="188">
        <v>53</v>
      </c>
      <c r="B55" s="1">
        <v>61300</v>
      </c>
      <c r="C55" t="s">
        <v>28</v>
      </c>
      <c r="D55" s="104"/>
      <c r="E55" s="168">
        <f>'Professional Services'!E28</f>
        <v>83095</v>
      </c>
      <c r="F55" s="168">
        <f>'Professional Services'!F28</f>
        <v>95710</v>
      </c>
      <c r="G55" s="168">
        <f>'Professional Services'!H28</f>
        <v>55375</v>
      </c>
      <c r="H55" s="168">
        <f>'Professional Services'!I28</f>
        <v>6000</v>
      </c>
      <c r="I55" s="168">
        <f>'Professional Services'!G28</f>
        <v>79330</v>
      </c>
      <c r="J55" s="66">
        <f t="shared" si="2"/>
        <v>319510</v>
      </c>
      <c r="K55"/>
    </row>
    <row r="56" spans="1:14" x14ac:dyDescent="0.25">
      <c r="A56" s="188">
        <v>54</v>
      </c>
      <c r="B56" s="1">
        <v>61600</v>
      </c>
      <c r="C56" t="s">
        <v>228</v>
      </c>
      <c r="D56" s="104"/>
      <c r="E56" s="101"/>
      <c r="F56" s="101"/>
      <c r="G56" s="101"/>
      <c r="H56" s="101"/>
      <c r="I56" s="194"/>
      <c r="J56" s="66">
        <f t="shared" si="2"/>
        <v>0</v>
      </c>
      <c r="K56"/>
    </row>
    <row r="57" spans="1:14" x14ac:dyDescent="0.25">
      <c r="A57" s="188">
        <v>55</v>
      </c>
      <c r="B57" s="1">
        <v>61700</v>
      </c>
      <c r="C57" t="s">
        <v>29</v>
      </c>
      <c r="D57" s="104"/>
      <c r="E57" s="161">
        <v>16175</v>
      </c>
      <c r="F57" s="161">
        <v>9000</v>
      </c>
      <c r="G57" s="161">
        <v>3400</v>
      </c>
      <c r="H57" s="161">
        <v>0</v>
      </c>
      <c r="I57" s="161">
        <v>1900</v>
      </c>
      <c r="J57" s="66">
        <f t="shared" si="2"/>
        <v>30475</v>
      </c>
      <c r="K57"/>
    </row>
    <row r="58" spans="1:14" x14ac:dyDescent="0.25">
      <c r="A58" s="188">
        <v>56</v>
      </c>
      <c r="B58" s="1">
        <v>61750</v>
      </c>
      <c r="C58" t="s">
        <v>30</v>
      </c>
      <c r="D58" s="104"/>
      <c r="E58" s="66">
        <f>'Training &amp; Travel'!D23</f>
        <v>1740</v>
      </c>
      <c r="F58" s="66">
        <f>'Training &amp; Travel'!E23</f>
        <v>1740</v>
      </c>
      <c r="G58" s="66">
        <f>'Training &amp; Travel'!F23</f>
        <v>4960</v>
      </c>
      <c r="H58" s="66">
        <f>'Training &amp; Travel'!G23</f>
        <v>7500</v>
      </c>
      <c r="I58" s="66">
        <f>'Training &amp; Travel'!H23</f>
        <v>3460</v>
      </c>
      <c r="J58" s="66">
        <f t="shared" si="2"/>
        <v>19400</v>
      </c>
      <c r="K58"/>
    </row>
    <row r="59" spans="1:14" x14ac:dyDescent="0.25">
      <c r="A59" s="188">
        <v>57</v>
      </c>
      <c r="B59" s="1">
        <v>61775</v>
      </c>
      <c r="C59" t="s">
        <v>206</v>
      </c>
      <c r="D59" s="104"/>
      <c r="E59" s="66"/>
      <c r="F59" s="66"/>
      <c r="G59" s="65">
        <v>900</v>
      </c>
      <c r="H59" s="66"/>
      <c r="I59" s="65"/>
      <c r="J59" s="66">
        <f t="shared" si="2"/>
        <v>900</v>
      </c>
      <c r="K59"/>
    </row>
    <row r="60" spans="1:14" x14ac:dyDescent="0.25">
      <c r="A60" s="188">
        <v>58</v>
      </c>
      <c r="B60" s="1">
        <v>61800</v>
      </c>
      <c r="C60" t="s">
        <v>31</v>
      </c>
      <c r="D60" s="104"/>
      <c r="E60" s="65">
        <v>0</v>
      </c>
      <c r="F60" s="65">
        <v>0</v>
      </c>
      <c r="G60" s="65">
        <v>0</v>
      </c>
      <c r="H60" s="65">
        <v>0</v>
      </c>
      <c r="I60" s="65">
        <v>0</v>
      </c>
      <c r="J60" s="66">
        <f t="shared" si="2"/>
        <v>0</v>
      </c>
      <c r="K60"/>
    </row>
    <row r="61" spans="1:14" x14ac:dyDescent="0.25">
      <c r="A61" s="188">
        <v>59</v>
      </c>
      <c r="B61" s="127">
        <v>70250</v>
      </c>
      <c r="C61" s="135" t="s">
        <v>242</v>
      </c>
      <c r="D61" s="104"/>
      <c r="E61" s="162">
        <v>100000</v>
      </c>
      <c r="F61" s="162">
        <v>100000</v>
      </c>
      <c r="G61" s="163">
        <v>0</v>
      </c>
      <c r="H61" s="163"/>
      <c r="I61" s="163">
        <v>0</v>
      </c>
      <c r="J61" s="66">
        <f t="shared" si="2"/>
        <v>200000</v>
      </c>
      <c r="K61"/>
    </row>
    <row r="62" spans="1:14" x14ac:dyDescent="0.25">
      <c r="A62" s="188">
        <v>60</v>
      </c>
      <c r="H62" s="5"/>
      <c r="I62" s="1"/>
      <c r="J62" s="5"/>
      <c r="K62"/>
    </row>
    <row r="63" spans="1:14" x14ac:dyDescent="0.25">
      <c r="A63" s="188">
        <v>61</v>
      </c>
      <c r="C63" s="8" t="s">
        <v>158</v>
      </c>
      <c r="D63" s="5">
        <f>SUM(D28:D60)</f>
        <v>27070</v>
      </c>
      <c r="E63" s="5">
        <f>SUM(E28:E61)</f>
        <v>627161.27086839988</v>
      </c>
      <c r="F63" s="5">
        <f>SUM(F28:F61)</f>
        <v>562771.0548684001</v>
      </c>
      <c r="G63" s="5">
        <f>SUM(G28:G61)</f>
        <v>1492411.0048332</v>
      </c>
      <c r="H63" s="5">
        <f>SUM(H28:H61)</f>
        <v>263170</v>
      </c>
      <c r="I63" s="5">
        <f>SUM(I28:I61)</f>
        <v>844314.44427159999</v>
      </c>
      <c r="J63" s="5">
        <f>SUM(D63:I63)</f>
        <v>3816897.7748416001</v>
      </c>
      <c r="K63"/>
    </row>
    <row r="64" spans="1:14" x14ac:dyDescent="0.25">
      <c r="A64" s="188">
        <v>62</v>
      </c>
      <c r="C64" s="8"/>
      <c r="D64" s="105"/>
      <c r="I64" s="1"/>
      <c r="J64" s="1"/>
      <c r="K64"/>
    </row>
    <row r="65" spans="1:13" x14ac:dyDescent="0.25">
      <c r="A65" s="188">
        <v>63</v>
      </c>
      <c r="C65" s="3" t="s">
        <v>172</v>
      </c>
      <c r="D65" s="109">
        <f t="shared" ref="D65:I65" si="3">D24-D63</f>
        <v>4930</v>
      </c>
      <c r="E65" s="109">
        <f t="shared" si="3"/>
        <v>16565.729131600121</v>
      </c>
      <c r="F65" s="109">
        <f t="shared" si="3"/>
        <v>93753.945131599903</v>
      </c>
      <c r="G65" s="109">
        <f t="shared" si="3"/>
        <v>-146166.00483320002</v>
      </c>
      <c r="H65" s="109">
        <f t="shared" si="3"/>
        <v>36830</v>
      </c>
      <c r="I65" s="109">
        <f t="shared" si="3"/>
        <v>-444314.44427159999</v>
      </c>
      <c r="J65" s="54">
        <f>SUM(D65:I65)</f>
        <v>-438400.77484159998</v>
      </c>
      <c r="K65"/>
      <c r="M65">
        <v>0</v>
      </c>
    </row>
    <row r="66" spans="1:13" x14ac:dyDescent="0.25">
      <c r="A66" s="188">
        <v>64</v>
      </c>
      <c r="C66" s="8"/>
      <c r="D66" s="119"/>
      <c r="E66" s="54"/>
      <c r="F66" s="54"/>
      <c r="G66" s="54"/>
      <c r="H66" s="54"/>
      <c r="I66" s="54"/>
      <c r="J66" s="54"/>
      <c r="K66"/>
    </row>
    <row r="67" spans="1:13" x14ac:dyDescent="0.25">
      <c r="A67" s="188">
        <v>65</v>
      </c>
      <c r="C67" s="8" t="s">
        <v>235</v>
      </c>
      <c r="D67" s="105"/>
      <c r="E67" s="54">
        <f>E65-D66</f>
        <v>16565.729131600121</v>
      </c>
      <c r="F67" s="54">
        <f>F65</f>
        <v>93753.945131599903</v>
      </c>
      <c r="G67" s="54">
        <f>G65</f>
        <v>-146166.00483320002</v>
      </c>
      <c r="H67" s="54">
        <f>H65</f>
        <v>36830</v>
      </c>
      <c r="I67" s="54">
        <f>I65</f>
        <v>-444314.44427159999</v>
      </c>
      <c r="J67" s="54"/>
      <c r="K67"/>
    </row>
    <row r="68" spans="1:13" x14ac:dyDescent="0.25">
      <c r="A68" s="188">
        <v>66</v>
      </c>
      <c r="C68" s="8" t="s">
        <v>208</v>
      </c>
      <c r="D68" s="120">
        <v>0</v>
      </c>
      <c r="E68" s="102">
        <v>0</v>
      </c>
      <c r="F68" s="65">
        <v>0</v>
      </c>
      <c r="G68" s="65">
        <v>0</v>
      </c>
      <c r="H68" s="65">
        <v>0</v>
      </c>
      <c r="I68" s="65">
        <v>0</v>
      </c>
      <c r="J68" s="8" t="s">
        <v>90</v>
      </c>
      <c r="K68" s="5">
        <f>SUM(D68:J68)</f>
        <v>0</v>
      </c>
      <c r="M68" s="133"/>
    </row>
    <row r="69" spans="1:13" x14ac:dyDescent="0.25">
      <c r="A69" s="188">
        <v>67</v>
      </c>
      <c r="B69" s="110"/>
      <c r="C69" s="111"/>
      <c r="D69" s="111"/>
      <c r="E69" s="110"/>
      <c r="F69" s="110"/>
      <c r="G69" s="110"/>
      <c r="H69" s="111"/>
      <c r="I69" s="110"/>
      <c r="J69" s="110"/>
      <c r="K69" s="110"/>
    </row>
    <row r="70" spans="1:13" x14ac:dyDescent="0.25">
      <c r="A70" s="188">
        <v>68</v>
      </c>
      <c r="F70" s="8"/>
      <c r="I70" s="109"/>
      <c r="J70" s="109"/>
    </row>
    <row r="71" spans="1:13" x14ac:dyDescent="0.25">
      <c r="A71" s="188">
        <v>69</v>
      </c>
      <c r="I71" s="1"/>
      <c r="J71" s="1"/>
      <c r="L71" s="93"/>
    </row>
    <row r="72" spans="1:13" x14ac:dyDescent="0.25">
      <c r="A72" s="188">
        <v>70</v>
      </c>
      <c r="C72" s="8" t="s">
        <v>196</v>
      </c>
      <c r="D72" s="5">
        <f>D65+D68</f>
        <v>4930</v>
      </c>
      <c r="E72" s="5">
        <f>E67+E68</f>
        <v>16565.729131600121</v>
      </c>
      <c r="F72" s="5">
        <f>F67+F68</f>
        <v>93753.945131599903</v>
      </c>
      <c r="G72" s="5">
        <f t="shared" ref="G72" si="4">G65+G68</f>
        <v>-146166.00483320002</v>
      </c>
      <c r="H72" s="4">
        <f t="shared" ref="H72:I72" si="5">H65+H68</f>
        <v>36830</v>
      </c>
      <c r="I72" s="5">
        <f t="shared" si="5"/>
        <v>-444314.44427159999</v>
      </c>
      <c r="J72" s="5"/>
      <c r="K72" s="5"/>
      <c r="L72" s="96"/>
    </row>
    <row r="73" spans="1:13" x14ac:dyDescent="0.25">
      <c r="A73" s="188">
        <v>71</v>
      </c>
      <c r="C73" s="8"/>
      <c r="D73" s="67"/>
      <c r="E73" s="67"/>
      <c r="F73" s="67"/>
      <c r="G73" s="67"/>
      <c r="H73" s="195"/>
      <c r="I73" s="67"/>
      <c r="J73" s="113"/>
      <c r="K73" s="54"/>
      <c r="L73" s="93"/>
    </row>
    <row r="74" spans="1:13" x14ac:dyDescent="0.25">
      <c r="A74" s="188">
        <v>72</v>
      </c>
      <c r="B74" s="214"/>
      <c r="C74" s="214"/>
      <c r="D74" s="8"/>
      <c r="E74" s="54"/>
      <c r="F74" s="5"/>
      <c r="G74" s="5"/>
      <c r="H74" s="4"/>
      <c r="I74" s="5"/>
      <c r="J74" s="5"/>
      <c r="L74" s="94"/>
    </row>
    <row r="75" spans="1:13" x14ac:dyDescent="0.25">
      <c r="L75" s="94"/>
    </row>
    <row r="76" spans="1:13" x14ac:dyDescent="0.25">
      <c r="L76" s="93"/>
    </row>
  </sheetData>
  <sheetProtection selectLockedCells="1"/>
  <mergeCells count="3">
    <mergeCell ref="B74:C74"/>
    <mergeCell ref="A1:K1"/>
    <mergeCell ref="K31:K32"/>
  </mergeCells>
  <printOptions horizontalCentered="1"/>
  <pageMargins left="0" right="0" top="0.7" bottom="0" header="0.3" footer="0.3"/>
  <pageSetup scale="64" orientation="portrait" r:id="rId1"/>
  <headerFooter>
    <oddHeader>&amp;LAdopted:&amp;CChester Public Utility District
FY 22/23&amp;RPage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"/>
  <sheetViews>
    <sheetView view="pageLayout" zoomScaleNormal="89" workbookViewId="0">
      <selection activeCell="B34" sqref="B34"/>
    </sheetView>
  </sheetViews>
  <sheetFormatPr defaultRowHeight="15.75" x14ac:dyDescent="0.25"/>
  <cols>
    <col min="1" max="1" width="5.625" style="1" customWidth="1"/>
    <col min="2" max="2" width="26.625" bestFit="1" customWidth="1"/>
    <col min="4" max="4" width="14" bestFit="1" customWidth="1"/>
    <col min="5" max="5" width="10.5" customWidth="1"/>
    <col min="6" max="6" width="9.75" bestFit="1" customWidth="1"/>
    <col min="7" max="7" width="10.625" customWidth="1"/>
    <col min="8" max="8" width="9.625" customWidth="1"/>
    <col min="9" max="9" width="10.625" customWidth="1"/>
    <col min="11" max="11" width="10.625" customWidth="1"/>
    <col min="12" max="12" width="11" bestFit="1" customWidth="1"/>
    <col min="13" max="13" width="13.375" bestFit="1" customWidth="1"/>
    <col min="14" max="15" width="10.125" customWidth="1"/>
    <col min="16" max="16" width="10.375" style="1" bestFit="1" customWidth="1"/>
    <col min="18" max="18" width="9.75" bestFit="1" customWidth="1"/>
    <col min="19" max="19" width="10.625" customWidth="1"/>
    <col min="21" max="21" width="31.375" bestFit="1" customWidth="1"/>
    <col min="23" max="23" width="9" customWidth="1"/>
    <col min="29" max="29" width="9.75" bestFit="1" customWidth="1"/>
  </cols>
  <sheetData>
    <row r="1" spans="1:29" x14ac:dyDescent="0.25">
      <c r="A1" s="215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116"/>
      <c r="T1" s="78"/>
    </row>
    <row r="2" spans="1:29" x14ac:dyDescent="0.25">
      <c r="B2" s="2" t="s">
        <v>34</v>
      </c>
      <c r="D2" s="215" t="s">
        <v>58</v>
      </c>
      <c r="E2" s="215"/>
      <c r="F2" s="215"/>
      <c r="G2" s="116"/>
      <c r="H2" s="217" t="s">
        <v>49</v>
      </c>
      <c r="I2" s="219"/>
      <c r="J2" s="7"/>
      <c r="K2" s="217"/>
      <c r="L2" s="218"/>
      <c r="M2" s="1"/>
      <c r="N2" s="215"/>
      <c r="O2" s="215"/>
      <c r="P2" s="215" t="s">
        <v>58</v>
      </c>
      <c r="Q2" s="215"/>
      <c r="R2" s="215"/>
      <c r="S2" s="116"/>
      <c r="T2" s="78"/>
      <c r="V2" s="217" t="s">
        <v>48</v>
      </c>
      <c r="W2" s="218"/>
      <c r="X2" s="218"/>
      <c r="Y2" s="219"/>
      <c r="Z2" s="217" t="s">
        <v>198</v>
      </c>
      <c r="AA2" s="218"/>
      <c r="AB2" s="218"/>
      <c r="AC2" s="219"/>
    </row>
    <row r="3" spans="1:29" s="6" customFormat="1" ht="47.25" x14ac:dyDescent="0.25">
      <c r="A3" s="7"/>
      <c r="B3" s="7" t="s">
        <v>67</v>
      </c>
      <c r="C3" s="7" t="s">
        <v>278</v>
      </c>
      <c r="D3" s="7" t="s">
        <v>36</v>
      </c>
      <c r="E3" s="7" t="s">
        <v>37</v>
      </c>
      <c r="F3" s="7" t="s">
        <v>38</v>
      </c>
      <c r="G3" s="117" t="s">
        <v>226</v>
      </c>
      <c r="H3" s="13" t="s">
        <v>55</v>
      </c>
      <c r="I3" s="14" t="s">
        <v>59</v>
      </c>
      <c r="J3" s="7" t="s">
        <v>61</v>
      </c>
      <c r="K3" s="84" t="s">
        <v>200</v>
      </c>
      <c r="L3" s="85" t="s">
        <v>201</v>
      </c>
      <c r="M3" s="159" t="s">
        <v>57</v>
      </c>
      <c r="N3" s="218" t="s">
        <v>66</v>
      </c>
      <c r="O3" s="218"/>
      <c r="P3" s="7" t="s">
        <v>36</v>
      </c>
      <c r="Q3" s="7" t="s">
        <v>37</v>
      </c>
      <c r="R3" s="7" t="s">
        <v>38</v>
      </c>
      <c r="S3" s="117" t="s">
        <v>226</v>
      </c>
      <c r="T3" s="79"/>
      <c r="V3" s="77" t="s">
        <v>199</v>
      </c>
      <c r="W3" s="7" t="s">
        <v>55</v>
      </c>
      <c r="X3" s="7" t="s">
        <v>60</v>
      </c>
      <c r="Y3" s="14" t="s">
        <v>56</v>
      </c>
      <c r="Z3" s="77" t="s">
        <v>199</v>
      </c>
      <c r="AA3" s="7" t="s">
        <v>55</v>
      </c>
      <c r="AB3" s="7" t="s">
        <v>60</v>
      </c>
      <c r="AC3" s="14" t="s">
        <v>56</v>
      </c>
    </row>
    <row r="4" spans="1:29" x14ac:dyDescent="0.25">
      <c r="A4" s="1">
        <v>1</v>
      </c>
      <c r="B4" s="183" t="s">
        <v>35</v>
      </c>
      <c r="C4" s="163">
        <v>0</v>
      </c>
      <c r="D4" s="5">
        <f>C4*0.4</f>
        <v>0</v>
      </c>
      <c r="E4" s="5">
        <f>C4*0.4</f>
        <v>0</v>
      </c>
      <c r="F4" s="5">
        <f>C4*0.1</f>
        <v>0</v>
      </c>
      <c r="G4" s="118">
        <f>C4*0.1</f>
        <v>0</v>
      </c>
      <c r="H4" s="83">
        <v>0</v>
      </c>
      <c r="I4" s="15">
        <f>C4*H4</f>
        <v>0</v>
      </c>
      <c r="J4" s="5">
        <f t="shared" ref="J4:J21" si="0">I4+C4</f>
        <v>0</v>
      </c>
      <c r="K4" s="90">
        <f>Y4</f>
        <v>0</v>
      </c>
      <c r="L4" s="86">
        <f>AC4</f>
        <v>0</v>
      </c>
      <c r="M4" s="5">
        <f>J4+K4+L4</f>
        <v>0</v>
      </c>
      <c r="N4" s="220" t="s">
        <v>47</v>
      </c>
      <c r="O4" s="220"/>
      <c r="P4" s="5">
        <f>M4*0.4</f>
        <v>0</v>
      </c>
      <c r="Q4" s="5">
        <f>M4*0.4</f>
        <v>0</v>
      </c>
      <c r="R4" s="5">
        <f>M4*0.1</f>
        <v>0</v>
      </c>
      <c r="S4" s="118">
        <f>M4*0.1</f>
        <v>0</v>
      </c>
      <c r="T4" s="81">
        <f>SUM(P4:S4)</f>
        <v>0</v>
      </c>
      <c r="U4" t="s">
        <v>35</v>
      </c>
      <c r="V4" s="91"/>
      <c r="W4" s="68"/>
      <c r="X4" s="68"/>
      <c r="Y4" s="86">
        <f t="shared" ref="Y4:Y18" si="1">V4*W4*X4</f>
        <v>0</v>
      </c>
      <c r="Z4" s="92"/>
      <c r="AA4" s="68"/>
      <c r="AB4" s="67"/>
      <c r="AC4" s="66">
        <f>Z4*AA4*AB4</f>
        <v>0</v>
      </c>
    </row>
    <row r="5" spans="1:29" x14ac:dyDescent="0.25">
      <c r="A5" s="1">
        <v>2</v>
      </c>
      <c r="B5" t="s">
        <v>40</v>
      </c>
      <c r="C5" s="65">
        <v>67849</v>
      </c>
      <c r="D5" s="5">
        <f>C5*0.3</f>
        <v>20354.7</v>
      </c>
      <c r="E5" s="5">
        <f>C5*0.3</f>
        <v>20354.7</v>
      </c>
      <c r="F5" s="5">
        <f>C5*0.3</f>
        <v>20354.7</v>
      </c>
      <c r="G5" s="118">
        <f>C5*0.1</f>
        <v>6784.9000000000005</v>
      </c>
      <c r="H5" s="83">
        <v>0</v>
      </c>
      <c r="I5" s="15">
        <f t="shared" ref="I5:I21" si="2">C5*H5</f>
        <v>0</v>
      </c>
      <c r="J5" s="5">
        <f t="shared" si="0"/>
        <v>67849</v>
      </c>
      <c r="K5" s="90">
        <f t="shared" ref="K5:K21" si="3">Y5</f>
        <v>0</v>
      </c>
      <c r="L5" s="86">
        <f t="shared" ref="L5:L21" si="4">AC5</f>
        <v>0</v>
      </c>
      <c r="M5" s="5">
        <f t="shared" ref="M5:M21" si="5">J5+K5+L5</f>
        <v>67849</v>
      </c>
      <c r="N5" s="220" t="s">
        <v>47</v>
      </c>
      <c r="O5" s="220"/>
      <c r="P5" s="5">
        <f>M5*0.3</f>
        <v>20354.7</v>
      </c>
      <c r="Q5" s="5">
        <f>M5*0.3</f>
        <v>20354.7</v>
      </c>
      <c r="R5" s="5">
        <f>M5*0.3</f>
        <v>20354.7</v>
      </c>
      <c r="S5" s="118">
        <f t="shared" ref="S5" si="6">M5*0.1</f>
        <v>6784.9000000000005</v>
      </c>
      <c r="T5" s="81">
        <f t="shared" ref="T5:T6" si="7">SUM(P5:S5)</f>
        <v>67849</v>
      </c>
      <c r="U5" t="s">
        <v>40</v>
      </c>
      <c r="V5" s="5"/>
      <c r="W5" s="68"/>
      <c r="X5" s="68"/>
      <c r="Y5" s="86">
        <f t="shared" si="1"/>
        <v>0</v>
      </c>
      <c r="Z5" s="92"/>
      <c r="AA5" s="68"/>
      <c r="AB5" s="67"/>
      <c r="AC5" s="66">
        <f t="shared" ref="AC5:AC21" si="8">Z5*AA5*AB5</f>
        <v>0</v>
      </c>
    </row>
    <row r="6" spans="1:29" x14ac:dyDescent="0.25">
      <c r="A6" s="1">
        <v>3</v>
      </c>
      <c r="B6" t="s">
        <v>41</v>
      </c>
      <c r="C6" s="65">
        <v>39728</v>
      </c>
      <c r="D6" s="118">
        <f>C6*0.3</f>
        <v>11918.4</v>
      </c>
      <c r="E6" s="118">
        <f>C6*0.3</f>
        <v>11918.4</v>
      </c>
      <c r="F6" s="118">
        <f>C6*0.1</f>
        <v>3972.8</v>
      </c>
      <c r="G6" s="118">
        <f>C6*0.3</f>
        <v>11918.4</v>
      </c>
      <c r="H6" s="83">
        <v>0</v>
      </c>
      <c r="I6" s="15">
        <f t="shared" si="2"/>
        <v>0</v>
      </c>
      <c r="J6" s="5">
        <f t="shared" si="0"/>
        <v>39728</v>
      </c>
      <c r="K6" s="90">
        <f t="shared" si="3"/>
        <v>0</v>
      </c>
      <c r="L6" s="86">
        <f>AC6</f>
        <v>0</v>
      </c>
      <c r="M6" s="5">
        <f>(J6+K6+L6)</f>
        <v>39728</v>
      </c>
      <c r="N6" s="220" t="s">
        <v>245</v>
      </c>
      <c r="O6" s="220"/>
      <c r="P6" s="118">
        <f>M6*0.3</f>
        <v>11918.4</v>
      </c>
      <c r="Q6" s="118">
        <f>M6*0.3</f>
        <v>11918.4</v>
      </c>
      <c r="R6" s="118">
        <f>M6*0.1</f>
        <v>3972.8</v>
      </c>
      <c r="S6" s="118">
        <f>M6*0.3</f>
        <v>11918.4</v>
      </c>
      <c r="T6" s="81">
        <f t="shared" si="7"/>
        <v>39728</v>
      </c>
      <c r="U6" t="s">
        <v>41</v>
      </c>
      <c r="V6" s="91"/>
      <c r="W6" s="68"/>
      <c r="X6" s="68"/>
      <c r="Y6" s="86">
        <f t="shared" si="1"/>
        <v>0</v>
      </c>
      <c r="Z6" s="136">
        <v>0</v>
      </c>
      <c r="AA6" s="68">
        <v>0</v>
      </c>
      <c r="AB6" s="67">
        <v>0</v>
      </c>
      <c r="AC6" s="66">
        <f t="shared" si="8"/>
        <v>0</v>
      </c>
    </row>
    <row r="7" spans="1:29" x14ac:dyDescent="0.25">
      <c r="A7" s="1">
        <v>4</v>
      </c>
      <c r="C7" s="65"/>
      <c r="D7" s="5"/>
      <c r="E7" s="5"/>
      <c r="F7" s="5"/>
      <c r="G7" s="118"/>
      <c r="H7" s="83"/>
      <c r="I7" s="15"/>
      <c r="J7" s="5"/>
      <c r="K7" s="90"/>
      <c r="L7" s="86"/>
      <c r="M7" s="5"/>
      <c r="N7" s="40"/>
      <c r="O7" s="40"/>
      <c r="P7" s="5"/>
      <c r="Q7" s="5"/>
      <c r="R7" s="5"/>
      <c r="S7" s="118"/>
      <c r="T7" s="81"/>
      <c r="V7" s="91"/>
      <c r="W7" s="68"/>
      <c r="X7" s="68"/>
      <c r="Y7" s="86"/>
      <c r="Z7" s="92"/>
      <c r="AA7" s="68"/>
      <c r="AB7" s="67"/>
      <c r="AC7" s="66"/>
    </row>
    <row r="8" spans="1:29" x14ac:dyDescent="0.25">
      <c r="A8" s="1">
        <v>5</v>
      </c>
      <c r="B8" t="s">
        <v>319</v>
      </c>
      <c r="C8" s="65">
        <v>10000</v>
      </c>
      <c r="D8" s="5">
        <f>C8*0.5</f>
        <v>5000</v>
      </c>
      <c r="E8" s="5">
        <f>C8*0.5</f>
        <v>5000</v>
      </c>
      <c r="F8" s="5">
        <v>0</v>
      </c>
      <c r="G8" s="118"/>
      <c r="H8" s="83"/>
      <c r="I8" s="15">
        <f t="shared" si="2"/>
        <v>0</v>
      </c>
      <c r="J8" s="5">
        <f t="shared" si="0"/>
        <v>10000</v>
      </c>
      <c r="K8" s="90">
        <f t="shared" si="3"/>
        <v>0</v>
      </c>
      <c r="L8" s="86">
        <f t="shared" si="4"/>
        <v>0</v>
      </c>
      <c r="M8" s="5">
        <f t="shared" si="5"/>
        <v>10000</v>
      </c>
      <c r="N8" s="220"/>
      <c r="O8" s="220"/>
      <c r="P8" s="5">
        <f>M8*0.5</f>
        <v>5000</v>
      </c>
      <c r="Q8" s="5">
        <f>M8*0.5</f>
        <v>5000</v>
      </c>
      <c r="R8" s="5">
        <v>0</v>
      </c>
      <c r="S8" s="118"/>
      <c r="T8" s="81">
        <f t="shared" ref="T8:T17" si="9">SUM(P8:S8)</f>
        <v>10000</v>
      </c>
      <c r="V8" s="91"/>
      <c r="W8" s="68"/>
      <c r="X8" s="68"/>
      <c r="Y8" s="86">
        <f t="shared" si="1"/>
        <v>0</v>
      </c>
      <c r="Z8" s="65"/>
      <c r="AA8" s="68"/>
      <c r="AB8" s="68"/>
      <c r="AC8" s="66">
        <f t="shared" si="8"/>
        <v>0</v>
      </c>
    </row>
    <row r="9" spans="1:29" x14ac:dyDescent="0.25">
      <c r="A9" s="1">
        <v>6</v>
      </c>
      <c r="B9" t="s">
        <v>43</v>
      </c>
      <c r="C9" s="65">
        <v>69388</v>
      </c>
      <c r="D9" s="5">
        <f>C9*0.5</f>
        <v>34694</v>
      </c>
      <c r="E9" s="5">
        <f>C9*0.5</f>
        <v>34694</v>
      </c>
      <c r="F9" s="5"/>
      <c r="G9" s="118"/>
      <c r="H9" s="83"/>
      <c r="I9" s="15">
        <f t="shared" si="2"/>
        <v>0</v>
      </c>
      <c r="J9" s="5">
        <f t="shared" si="0"/>
        <v>69388</v>
      </c>
      <c r="K9" s="90">
        <f t="shared" si="3"/>
        <v>0</v>
      </c>
      <c r="L9" s="86">
        <f t="shared" si="4"/>
        <v>0</v>
      </c>
      <c r="M9" s="118">
        <f t="shared" si="5"/>
        <v>69388</v>
      </c>
      <c r="N9" s="220" t="s">
        <v>245</v>
      </c>
      <c r="O9" s="220"/>
      <c r="P9" s="5">
        <f>M9*0.5</f>
        <v>34694</v>
      </c>
      <c r="Q9" s="5">
        <f>M9*0.5</f>
        <v>34694</v>
      </c>
      <c r="T9" s="81">
        <f t="shared" si="9"/>
        <v>69388</v>
      </c>
      <c r="U9" t="s">
        <v>43</v>
      </c>
      <c r="V9" s="91"/>
      <c r="W9" s="68"/>
      <c r="X9" s="68"/>
      <c r="Y9" s="86">
        <f t="shared" si="1"/>
        <v>0</v>
      </c>
      <c r="Z9" s="134"/>
      <c r="AA9" s="68">
        <v>0</v>
      </c>
      <c r="AB9" s="80">
        <v>0</v>
      </c>
      <c r="AC9" s="66">
        <f t="shared" si="8"/>
        <v>0</v>
      </c>
    </row>
    <row r="10" spans="1:29" x14ac:dyDescent="0.25">
      <c r="A10" s="1">
        <v>7</v>
      </c>
      <c r="B10" t="s">
        <v>44</v>
      </c>
      <c r="C10" s="65">
        <v>0</v>
      </c>
      <c r="D10" s="5">
        <f t="shared" ref="D10:D12" si="10">C10*0.5</f>
        <v>0</v>
      </c>
      <c r="E10" s="5">
        <f t="shared" ref="E10:E12" si="11">C10*0.5</f>
        <v>0</v>
      </c>
      <c r="F10" s="5"/>
      <c r="G10" s="118"/>
      <c r="H10" s="83"/>
      <c r="I10" s="15">
        <f t="shared" si="2"/>
        <v>0</v>
      </c>
      <c r="J10" s="5">
        <f t="shared" si="0"/>
        <v>0</v>
      </c>
      <c r="K10" s="90">
        <f t="shared" si="3"/>
        <v>0</v>
      </c>
      <c r="L10" s="86">
        <f t="shared" si="4"/>
        <v>0</v>
      </c>
      <c r="M10" s="118">
        <f t="shared" si="5"/>
        <v>0</v>
      </c>
      <c r="N10" s="220" t="s">
        <v>245</v>
      </c>
      <c r="O10" s="220"/>
      <c r="P10" s="5">
        <f t="shared" ref="P10:P12" si="12">M10*0.5</f>
        <v>0</v>
      </c>
      <c r="Q10" s="5">
        <f t="shared" ref="Q10:Q12" si="13">M10*0.5</f>
        <v>0</v>
      </c>
      <c r="T10" s="81">
        <f t="shared" si="9"/>
        <v>0</v>
      </c>
      <c r="U10" t="s">
        <v>44</v>
      </c>
      <c r="V10" s="91"/>
      <c r="W10" s="68"/>
      <c r="X10" s="68"/>
      <c r="Y10" s="86">
        <f t="shared" si="1"/>
        <v>0</v>
      </c>
      <c r="Z10" s="65"/>
      <c r="AA10" s="68"/>
      <c r="AB10" s="80"/>
      <c r="AC10" s="66">
        <f t="shared" si="8"/>
        <v>0</v>
      </c>
    </row>
    <row r="11" spans="1:29" x14ac:dyDescent="0.25">
      <c r="A11" s="1">
        <v>8</v>
      </c>
      <c r="B11" t="s">
        <v>335</v>
      </c>
      <c r="C11" s="65">
        <v>34320</v>
      </c>
      <c r="D11" s="5">
        <f t="shared" si="10"/>
        <v>17160</v>
      </c>
      <c r="E11" s="5">
        <f t="shared" si="11"/>
        <v>17160</v>
      </c>
      <c r="F11" s="5"/>
      <c r="G11" s="118"/>
      <c r="H11" s="83"/>
      <c r="I11" s="15">
        <f t="shared" si="2"/>
        <v>0</v>
      </c>
      <c r="J11" s="5">
        <f t="shared" si="0"/>
        <v>34320</v>
      </c>
      <c r="K11" s="90">
        <f t="shared" si="3"/>
        <v>0</v>
      </c>
      <c r="L11" s="86">
        <f t="shared" si="4"/>
        <v>1029.5999999999999</v>
      </c>
      <c r="M11" s="118">
        <f t="shared" si="5"/>
        <v>35349.599999999999</v>
      </c>
      <c r="N11" s="220" t="s">
        <v>245</v>
      </c>
      <c r="O11" s="220"/>
      <c r="P11" s="5">
        <f t="shared" si="12"/>
        <v>17674.8</v>
      </c>
      <c r="Q11" s="5">
        <f t="shared" si="13"/>
        <v>17674.8</v>
      </c>
      <c r="T11" s="81">
        <f t="shared" si="9"/>
        <v>35349.599999999999</v>
      </c>
      <c r="U11" t="s">
        <v>269</v>
      </c>
      <c r="V11" s="95"/>
      <c r="W11" s="100"/>
      <c r="X11" s="100"/>
      <c r="Y11" s="86">
        <f t="shared" si="1"/>
        <v>0</v>
      </c>
      <c r="Z11" s="65">
        <v>34320</v>
      </c>
      <c r="AA11" s="68">
        <v>0.05</v>
      </c>
      <c r="AB11" s="80">
        <v>0.6</v>
      </c>
      <c r="AC11" s="66">
        <f t="shared" si="8"/>
        <v>1029.5999999999999</v>
      </c>
    </row>
    <row r="12" spans="1:29" x14ac:dyDescent="0.25">
      <c r="A12" s="1">
        <v>9</v>
      </c>
      <c r="B12" t="s">
        <v>335</v>
      </c>
      <c r="C12" s="65">
        <v>34320</v>
      </c>
      <c r="D12" s="5">
        <f t="shared" si="10"/>
        <v>17160</v>
      </c>
      <c r="E12" s="5">
        <f t="shared" si="11"/>
        <v>17160</v>
      </c>
      <c r="F12" s="5"/>
      <c r="G12" s="118"/>
      <c r="H12" s="83"/>
      <c r="I12" s="15">
        <f t="shared" si="2"/>
        <v>0</v>
      </c>
      <c r="J12" s="5">
        <f t="shared" si="0"/>
        <v>34320</v>
      </c>
      <c r="K12" s="90">
        <f t="shared" si="3"/>
        <v>0</v>
      </c>
      <c r="L12" s="86">
        <f t="shared" si="4"/>
        <v>943.80000000000007</v>
      </c>
      <c r="M12" s="118">
        <f t="shared" si="5"/>
        <v>35263.800000000003</v>
      </c>
      <c r="N12" s="222" t="s">
        <v>247</v>
      </c>
      <c r="O12" s="222"/>
      <c r="P12" s="5">
        <f t="shared" si="12"/>
        <v>17631.900000000001</v>
      </c>
      <c r="Q12" s="5">
        <f t="shared" si="13"/>
        <v>17631.900000000001</v>
      </c>
      <c r="T12" s="81">
        <f t="shared" si="9"/>
        <v>35263.800000000003</v>
      </c>
      <c r="U12" t="s">
        <v>270</v>
      </c>
      <c r="V12" s="91"/>
      <c r="W12" s="68"/>
      <c r="X12" s="68"/>
      <c r="Y12" s="86">
        <f t="shared" si="1"/>
        <v>0</v>
      </c>
      <c r="Z12" s="92">
        <v>34320</v>
      </c>
      <c r="AA12" s="68">
        <v>0.05</v>
      </c>
      <c r="AB12" s="80">
        <v>0.55000000000000004</v>
      </c>
      <c r="AC12" s="66">
        <f t="shared" si="8"/>
        <v>943.80000000000007</v>
      </c>
    </row>
    <row r="13" spans="1:29" x14ac:dyDescent="0.25">
      <c r="A13" s="1">
        <v>10</v>
      </c>
      <c r="B13" t="s">
        <v>39</v>
      </c>
      <c r="C13" s="65">
        <v>24000</v>
      </c>
      <c r="D13" s="5"/>
      <c r="E13" s="5"/>
      <c r="F13" s="5">
        <f>C13</f>
        <v>24000</v>
      </c>
      <c r="G13" s="118"/>
      <c r="H13" s="83"/>
      <c r="I13" s="15">
        <f t="shared" si="2"/>
        <v>0</v>
      </c>
      <c r="J13" s="5">
        <f t="shared" si="0"/>
        <v>24000</v>
      </c>
      <c r="K13" s="90">
        <f t="shared" si="3"/>
        <v>0</v>
      </c>
      <c r="L13" s="86">
        <f t="shared" si="4"/>
        <v>0</v>
      </c>
      <c r="M13" s="118">
        <f t="shared" si="5"/>
        <v>24000</v>
      </c>
      <c r="N13" s="220" t="s">
        <v>246</v>
      </c>
      <c r="O13" s="220"/>
      <c r="P13"/>
      <c r="R13" s="5">
        <f>M13</f>
        <v>24000</v>
      </c>
      <c r="S13" s="118"/>
      <c r="T13" s="81">
        <f t="shared" si="9"/>
        <v>24000</v>
      </c>
      <c r="U13" t="s">
        <v>39</v>
      </c>
      <c r="V13" s="91"/>
      <c r="W13" s="68"/>
      <c r="X13" s="68"/>
      <c r="Y13" s="86">
        <f t="shared" si="1"/>
        <v>0</v>
      </c>
      <c r="Z13" s="92"/>
      <c r="AA13" s="68"/>
      <c r="AB13" s="80"/>
      <c r="AC13" s="66">
        <f t="shared" si="8"/>
        <v>0</v>
      </c>
    </row>
    <row r="14" spans="1:29" x14ac:dyDescent="0.25">
      <c r="A14" s="1">
        <v>11</v>
      </c>
      <c r="B14" t="s">
        <v>214</v>
      </c>
      <c r="C14" s="65">
        <v>105852</v>
      </c>
      <c r="D14" s="5"/>
      <c r="E14" s="5"/>
      <c r="F14" s="5">
        <f t="shared" ref="F14:F17" si="14">C14</f>
        <v>105852</v>
      </c>
      <c r="G14" s="118"/>
      <c r="H14" s="83"/>
      <c r="I14" s="15">
        <f t="shared" si="2"/>
        <v>0</v>
      </c>
      <c r="J14" s="5">
        <f t="shared" si="0"/>
        <v>105852</v>
      </c>
      <c r="K14" s="90">
        <f t="shared" si="3"/>
        <v>0</v>
      </c>
      <c r="L14" s="86">
        <f t="shared" si="4"/>
        <v>0</v>
      </c>
      <c r="M14" s="5">
        <f t="shared" si="5"/>
        <v>105852</v>
      </c>
      <c r="N14" s="220" t="s">
        <v>244</v>
      </c>
      <c r="O14" s="220"/>
      <c r="P14"/>
      <c r="R14" s="5">
        <f t="shared" ref="R14:R17" si="15">M14</f>
        <v>105852</v>
      </c>
      <c r="S14" s="118"/>
      <c r="T14" s="81">
        <f t="shared" si="9"/>
        <v>105852</v>
      </c>
      <c r="U14" t="s">
        <v>101</v>
      </c>
      <c r="V14" s="91"/>
      <c r="W14" s="68">
        <v>0</v>
      </c>
      <c r="X14" s="68"/>
      <c r="Y14" s="86">
        <f t="shared" si="1"/>
        <v>0</v>
      </c>
      <c r="Z14" s="92"/>
      <c r="AA14" s="68"/>
      <c r="AB14" s="80"/>
      <c r="AC14" s="66">
        <f t="shared" si="8"/>
        <v>0</v>
      </c>
    </row>
    <row r="15" spans="1:29" x14ac:dyDescent="0.25">
      <c r="A15" s="1">
        <v>12</v>
      </c>
      <c r="B15" t="s">
        <v>215</v>
      </c>
      <c r="C15" s="65">
        <v>62408</v>
      </c>
      <c r="D15" s="5"/>
      <c r="E15" s="5"/>
      <c r="F15" s="5">
        <f t="shared" si="14"/>
        <v>62408</v>
      </c>
      <c r="G15" s="118"/>
      <c r="H15" s="83"/>
      <c r="I15" s="15">
        <f t="shared" si="2"/>
        <v>0</v>
      </c>
      <c r="J15" s="5">
        <f t="shared" si="0"/>
        <v>62408</v>
      </c>
      <c r="K15" s="90">
        <f t="shared" si="3"/>
        <v>780.1</v>
      </c>
      <c r="L15" s="86">
        <f t="shared" si="4"/>
        <v>0</v>
      </c>
      <c r="M15" s="5">
        <f t="shared" si="5"/>
        <v>63188.1</v>
      </c>
      <c r="N15" s="220" t="s">
        <v>244</v>
      </c>
      <c r="O15" s="220"/>
      <c r="P15"/>
      <c r="R15" s="5">
        <f t="shared" si="15"/>
        <v>63188.1</v>
      </c>
      <c r="S15" s="118"/>
      <c r="T15" s="81">
        <f t="shared" si="9"/>
        <v>63188.1</v>
      </c>
      <c r="U15" t="s">
        <v>50</v>
      </c>
      <c r="V15" s="65">
        <v>62408</v>
      </c>
      <c r="W15" s="68">
        <v>0.05</v>
      </c>
      <c r="X15" s="68">
        <v>0.25</v>
      </c>
      <c r="Y15" s="86">
        <f t="shared" si="1"/>
        <v>780.1</v>
      </c>
      <c r="Z15" s="92"/>
      <c r="AA15" s="68"/>
      <c r="AB15" s="80"/>
      <c r="AC15" s="66">
        <f t="shared" si="8"/>
        <v>0</v>
      </c>
    </row>
    <row r="16" spans="1:29" x14ac:dyDescent="0.25">
      <c r="A16" s="1">
        <v>13</v>
      </c>
      <c r="B16" t="s">
        <v>215</v>
      </c>
      <c r="C16" s="65">
        <v>56019</v>
      </c>
      <c r="D16" s="5"/>
      <c r="E16" s="5"/>
      <c r="F16" s="5">
        <f t="shared" si="14"/>
        <v>56019</v>
      </c>
      <c r="G16" s="118"/>
      <c r="H16" s="83"/>
      <c r="I16" s="15">
        <f t="shared" si="2"/>
        <v>0</v>
      </c>
      <c r="J16" s="5">
        <f t="shared" si="0"/>
        <v>56019</v>
      </c>
      <c r="K16" s="90">
        <v>0</v>
      </c>
      <c r="L16" s="86">
        <v>0</v>
      </c>
      <c r="M16" s="134">
        <f t="shared" si="5"/>
        <v>56019</v>
      </c>
      <c r="N16" s="220" t="s">
        <v>244</v>
      </c>
      <c r="O16" s="220"/>
      <c r="P16"/>
      <c r="R16" s="134">
        <f t="shared" si="15"/>
        <v>56019</v>
      </c>
      <c r="S16" s="118"/>
      <c r="T16" s="81">
        <f t="shared" si="9"/>
        <v>56019</v>
      </c>
      <c r="U16" t="s">
        <v>271</v>
      </c>
      <c r="V16" s="91"/>
      <c r="W16" s="68"/>
      <c r="X16" s="68"/>
      <c r="Y16" s="86">
        <v>0</v>
      </c>
      <c r="Z16" s="136">
        <v>52453</v>
      </c>
      <c r="AA16" s="68">
        <v>0.03</v>
      </c>
      <c r="AB16" s="80">
        <v>0.55000000000000004</v>
      </c>
      <c r="AC16" s="66">
        <f t="shared" si="8"/>
        <v>865.47450000000003</v>
      </c>
    </row>
    <row r="17" spans="1:29" x14ac:dyDescent="0.25">
      <c r="A17" s="177">
        <v>14</v>
      </c>
      <c r="B17" t="s">
        <v>215</v>
      </c>
      <c r="C17" s="65">
        <v>52633</v>
      </c>
      <c r="D17" s="179"/>
      <c r="E17" s="179"/>
      <c r="F17" s="179">
        <f t="shared" si="14"/>
        <v>52633</v>
      </c>
      <c r="G17" s="179"/>
      <c r="H17" s="83"/>
      <c r="I17" s="181">
        <v>0</v>
      </c>
      <c r="J17" s="179">
        <f t="shared" si="0"/>
        <v>52633</v>
      </c>
      <c r="K17" s="90">
        <v>0</v>
      </c>
      <c r="L17" s="86">
        <v>0</v>
      </c>
      <c r="M17" s="179">
        <f t="shared" si="5"/>
        <v>52633</v>
      </c>
      <c r="N17" s="178" t="s">
        <v>305</v>
      </c>
      <c r="O17" s="178"/>
      <c r="P17"/>
      <c r="R17" s="179">
        <f t="shared" si="15"/>
        <v>52633</v>
      </c>
      <c r="S17" s="179"/>
      <c r="T17" s="81">
        <f t="shared" si="9"/>
        <v>52633</v>
      </c>
      <c r="U17" t="s">
        <v>316</v>
      </c>
      <c r="V17" s="91"/>
      <c r="W17" s="68"/>
      <c r="X17" s="68"/>
      <c r="Y17" s="86"/>
      <c r="Z17" s="136"/>
      <c r="AA17" s="68"/>
      <c r="AB17" s="80"/>
      <c r="AC17" s="66"/>
    </row>
    <row r="18" spans="1:29" x14ac:dyDescent="0.25">
      <c r="A18" s="177">
        <v>15</v>
      </c>
      <c r="B18" t="s">
        <v>216</v>
      </c>
      <c r="C18" s="65">
        <v>95532.32</v>
      </c>
      <c r="D18" s="5"/>
      <c r="E18" s="5"/>
      <c r="G18" s="5">
        <f>C18</f>
        <v>95532.32</v>
      </c>
      <c r="H18" s="83"/>
      <c r="I18" s="15">
        <f t="shared" si="2"/>
        <v>0</v>
      </c>
      <c r="J18" s="5">
        <f t="shared" si="0"/>
        <v>95532.32</v>
      </c>
      <c r="K18" s="90">
        <f t="shared" si="3"/>
        <v>0</v>
      </c>
      <c r="L18" s="86">
        <f t="shared" si="4"/>
        <v>0</v>
      </c>
      <c r="M18" s="5">
        <f t="shared" si="5"/>
        <v>95532.32</v>
      </c>
      <c r="N18" s="220" t="s">
        <v>244</v>
      </c>
      <c r="O18" s="220"/>
      <c r="P18"/>
      <c r="S18" s="5">
        <f>M18</f>
        <v>95532.32</v>
      </c>
      <c r="T18" s="81">
        <f>SUM(P18:S18)</f>
        <v>95532.32</v>
      </c>
      <c r="U18" t="s">
        <v>273</v>
      </c>
      <c r="V18" s="91"/>
      <c r="W18" s="68"/>
      <c r="X18" s="68"/>
      <c r="Y18" s="86">
        <f t="shared" si="1"/>
        <v>0</v>
      </c>
      <c r="Z18" s="92"/>
      <c r="AA18" s="68"/>
      <c r="AB18" s="80"/>
      <c r="AC18" s="66">
        <f t="shared" si="8"/>
        <v>0</v>
      </c>
    </row>
    <row r="19" spans="1:29" x14ac:dyDescent="0.25">
      <c r="A19" s="177">
        <v>16</v>
      </c>
      <c r="B19" t="s">
        <v>216</v>
      </c>
      <c r="C19" s="65">
        <v>73937.240000000005</v>
      </c>
      <c r="D19" s="5"/>
      <c r="E19" s="5"/>
      <c r="G19" s="5">
        <f>C19</f>
        <v>73937.240000000005</v>
      </c>
      <c r="H19" s="83"/>
      <c r="I19" s="15">
        <f t="shared" si="2"/>
        <v>0</v>
      </c>
      <c r="J19" s="5">
        <f t="shared" si="0"/>
        <v>73937.240000000005</v>
      </c>
      <c r="K19" s="90">
        <f t="shared" si="3"/>
        <v>0</v>
      </c>
      <c r="L19" s="86">
        <f t="shared" si="4"/>
        <v>0</v>
      </c>
      <c r="M19" s="5">
        <f t="shared" si="5"/>
        <v>73937.240000000005</v>
      </c>
      <c r="N19" s="220" t="s">
        <v>244</v>
      </c>
      <c r="O19" s="220"/>
      <c r="P19"/>
      <c r="S19" s="5">
        <f>M19</f>
        <v>73937.240000000005</v>
      </c>
      <c r="T19" s="81">
        <f>SUM(P19:S19)</f>
        <v>73937.240000000005</v>
      </c>
      <c r="U19" t="s">
        <v>272</v>
      </c>
      <c r="V19" s="91"/>
      <c r="W19" s="68"/>
      <c r="X19" s="68"/>
      <c r="Y19" s="86">
        <f>V19*W19*X19</f>
        <v>0</v>
      </c>
      <c r="Z19" s="92"/>
      <c r="AA19" s="68"/>
      <c r="AB19" s="80"/>
      <c r="AC19" s="66">
        <f t="shared" si="8"/>
        <v>0</v>
      </c>
    </row>
    <row r="20" spans="1:29" x14ac:dyDescent="0.25">
      <c r="A20" s="177">
        <v>17</v>
      </c>
      <c r="B20" t="s">
        <v>216</v>
      </c>
      <c r="C20" s="65">
        <v>73938</v>
      </c>
      <c r="D20" s="5"/>
      <c r="E20" s="5"/>
      <c r="G20" s="5">
        <f>C20</f>
        <v>73938</v>
      </c>
      <c r="H20" s="83"/>
      <c r="I20" s="15">
        <f t="shared" si="2"/>
        <v>0</v>
      </c>
      <c r="J20" s="5">
        <f t="shared" si="0"/>
        <v>73938</v>
      </c>
      <c r="K20" s="90">
        <f t="shared" si="3"/>
        <v>0</v>
      </c>
      <c r="L20" s="86">
        <f t="shared" si="4"/>
        <v>1109.07</v>
      </c>
      <c r="M20" s="5">
        <f t="shared" si="5"/>
        <v>75047.070000000007</v>
      </c>
      <c r="N20" s="220" t="s">
        <v>244</v>
      </c>
      <c r="O20" s="220"/>
      <c r="P20"/>
      <c r="S20" s="5">
        <f>M20</f>
        <v>75047.070000000007</v>
      </c>
      <c r="T20" s="81">
        <f>SUM(P20:S20)</f>
        <v>75047.070000000007</v>
      </c>
      <c r="U20" t="s">
        <v>274</v>
      </c>
      <c r="V20" s="98"/>
      <c r="W20" s="68"/>
      <c r="X20" s="68"/>
      <c r="Y20" s="86">
        <f t="shared" ref="Y20:Y21" si="16">V20*W20*X20</f>
        <v>0</v>
      </c>
      <c r="Z20" s="65">
        <v>73938</v>
      </c>
      <c r="AA20" s="68">
        <v>0.03</v>
      </c>
      <c r="AB20" s="80">
        <v>0.5</v>
      </c>
      <c r="AC20" s="66">
        <f t="shared" si="8"/>
        <v>1109.07</v>
      </c>
    </row>
    <row r="21" spans="1:29" x14ac:dyDescent="0.25">
      <c r="A21" s="177">
        <v>18</v>
      </c>
      <c r="B21" t="s">
        <v>216</v>
      </c>
      <c r="C21" s="65">
        <v>0</v>
      </c>
      <c r="D21" s="5"/>
      <c r="E21" s="5"/>
      <c r="G21" s="5">
        <f>C21</f>
        <v>0</v>
      </c>
      <c r="H21" s="83"/>
      <c r="I21" s="15">
        <f t="shared" si="2"/>
        <v>0</v>
      </c>
      <c r="J21" s="5">
        <f t="shared" si="0"/>
        <v>0</v>
      </c>
      <c r="K21" s="90">
        <f t="shared" si="3"/>
        <v>0</v>
      </c>
      <c r="L21" s="86">
        <f t="shared" si="4"/>
        <v>0</v>
      </c>
      <c r="M21" s="5">
        <f t="shared" si="5"/>
        <v>0</v>
      </c>
      <c r="N21" s="220" t="s">
        <v>244</v>
      </c>
      <c r="O21" s="220"/>
      <c r="P21"/>
      <c r="S21" s="5">
        <f>M21</f>
        <v>0</v>
      </c>
      <c r="T21" s="81">
        <f>SUM(P21:S21)</f>
        <v>0</v>
      </c>
      <c r="U21" t="s">
        <v>216</v>
      </c>
      <c r="V21" s="91"/>
      <c r="W21" s="68"/>
      <c r="X21" s="68"/>
      <c r="Y21" s="86">
        <f t="shared" si="16"/>
        <v>0</v>
      </c>
      <c r="Z21" s="65"/>
      <c r="AA21" s="68"/>
      <c r="AB21" s="80"/>
      <c r="AC21" s="66">
        <f t="shared" si="8"/>
        <v>0</v>
      </c>
    </row>
    <row r="22" spans="1:29" x14ac:dyDescent="0.25">
      <c r="A22" s="177">
        <v>19</v>
      </c>
      <c r="C22" s="5"/>
      <c r="D22" s="5"/>
      <c r="E22" s="5"/>
      <c r="F22" s="5"/>
      <c r="G22" s="118"/>
      <c r="M22" s="4"/>
      <c r="R22" s="5"/>
      <c r="S22" s="118"/>
      <c r="T22" s="82"/>
    </row>
    <row r="23" spans="1:29" x14ac:dyDescent="0.25">
      <c r="A23" s="177">
        <v>20</v>
      </c>
      <c r="B23" s="8" t="s">
        <v>62</v>
      </c>
      <c r="C23" s="4">
        <f>SUM(D23:G23)</f>
        <v>799924.55999999994</v>
      </c>
      <c r="D23" s="5">
        <f>SUM(D4:D21)</f>
        <v>106287.1</v>
      </c>
      <c r="E23" s="5">
        <f>SUM(E4:E21)</f>
        <v>106287.1</v>
      </c>
      <c r="F23" s="5">
        <f>SUM(F4:F21)</f>
        <v>325239.5</v>
      </c>
      <c r="G23" s="118">
        <f>SUM(G4:G21)</f>
        <v>262110.86000000002</v>
      </c>
      <c r="I23" s="5">
        <f>SUM(I4:I21)</f>
        <v>0</v>
      </c>
      <c r="J23" s="5"/>
      <c r="K23" s="5">
        <f>SUM(K4:K21)</f>
        <v>780.1</v>
      </c>
      <c r="L23" s="5">
        <f>SUM(L4:L21)</f>
        <v>3082.4700000000003</v>
      </c>
      <c r="M23" s="5">
        <f>SUM(M4:M21)</f>
        <v>803787.13000000012</v>
      </c>
      <c r="N23" s="4">
        <f>SUM(P23:S23)</f>
        <v>686210.13</v>
      </c>
      <c r="P23" s="5">
        <f>SUM(P9:P21)</f>
        <v>70000.700000000012</v>
      </c>
      <c r="Q23" s="5">
        <f>SUM(Q9:Q21)</f>
        <v>70000.700000000012</v>
      </c>
      <c r="R23" s="5">
        <f>SUM(R9:R19)</f>
        <v>301692.09999999998</v>
      </c>
      <c r="S23" s="118">
        <f>SUM(S9:S22)</f>
        <v>244516.63</v>
      </c>
      <c r="T23" s="81">
        <f>SUM(T4:T22)</f>
        <v>803787.13000000012</v>
      </c>
      <c r="U23" s="4"/>
      <c r="Y23" s="89">
        <f>SUM(Y4:Y22)</f>
        <v>780.1</v>
      </c>
      <c r="AC23" s="89">
        <f>SUM(AC4:AC22)</f>
        <v>3947.9444999999996</v>
      </c>
    </row>
    <row r="24" spans="1:29" x14ac:dyDescent="0.25">
      <c r="A24" s="177">
        <v>21</v>
      </c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116"/>
    </row>
    <row r="25" spans="1:29" s="6" customFormat="1" x14ac:dyDescent="0.25">
      <c r="A25" s="177">
        <v>22</v>
      </c>
      <c r="C25" s="11" t="s">
        <v>51</v>
      </c>
      <c r="D25" s="11" t="s">
        <v>54</v>
      </c>
      <c r="E25" s="11" t="s">
        <v>52</v>
      </c>
      <c r="F25" s="11"/>
      <c r="G25" s="11"/>
      <c r="O25" s="12"/>
      <c r="P25" s="7"/>
    </row>
    <row r="26" spans="1:29" x14ac:dyDescent="0.25">
      <c r="A26" s="177">
        <v>23</v>
      </c>
      <c r="B26" t="s">
        <v>307</v>
      </c>
      <c r="C26" s="69">
        <v>20</v>
      </c>
      <c r="D26" s="70">
        <v>48</v>
      </c>
      <c r="E26" s="5">
        <f>D26*C26</f>
        <v>960</v>
      </c>
      <c r="F26" s="5"/>
      <c r="G26" s="118"/>
      <c r="H26" t="s">
        <v>70</v>
      </c>
      <c r="K26" s="1" t="s">
        <v>68</v>
      </c>
      <c r="L26" s="1" t="s">
        <v>69</v>
      </c>
      <c r="M26" s="1" t="s">
        <v>202</v>
      </c>
      <c r="N26" s="1" t="s">
        <v>52</v>
      </c>
      <c r="P26"/>
      <c r="Q26" s="1"/>
    </row>
    <row r="27" spans="1:29" x14ac:dyDescent="0.25">
      <c r="A27" s="177">
        <v>24</v>
      </c>
      <c r="B27" t="s">
        <v>307</v>
      </c>
      <c r="C27" s="69">
        <v>20</v>
      </c>
      <c r="D27" s="70">
        <v>48</v>
      </c>
      <c r="E27" s="5">
        <f t="shared" ref="E27:E37" si="17">D27*C27</f>
        <v>960</v>
      </c>
      <c r="F27" s="5"/>
      <c r="G27" s="118"/>
      <c r="H27" t="s">
        <v>218</v>
      </c>
      <c r="K27" s="71">
        <v>11</v>
      </c>
      <c r="L27" s="1">
        <v>24</v>
      </c>
      <c r="M27" s="9">
        <v>31.51</v>
      </c>
      <c r="N27" s="5">
        <f>K27*L27*M27</f>
        <v>8318.6400000000012</v>
      </c>
      <c r="P27"/>
      <c r="Q27" s="1"/>
      <c r="U27" t="s">
        <v>101</v>
      </c>
    </row>
    <row r="28" spans="1:29" x14ac:dyDescent="0.25">
      <c r="A28" s="177">
        <v>25</v>
      </c>
      <c r="B28" t="s">
        <v>307</v>
      </c>
      <c r="C28" s="69">
        <v>20</v>
      </c>
      <c r="D28" s="70">
        <v>48</v>
      </c>
      <c r="E28" s="5">
        <f t="shared" si="17"/>
        <v>960</v>
      </c>
      <c r="F28" s="5"/>
      <c r="G28" s="118"/>
      <c r="H28" t="s">
        <v>215</v>
      </c>
      <c r="K28" s="71">
        <v>11</v>
      </c>
      <c r="L28" s="1">
        <v>24</v>
      </c>
      <c r="M28" s="9">
        <v>19.8</v>
      </c>
      <c r="N28" s="5">
        <f t="shared" ref="N28:N29" si="18">K28*L28*M28</f>
        <v>5227.2</v>
      </c>
      <c r="P28"/>
      <c r="Q28" s="1"/>
      <c r="U28" t="s">
        <v>50</v>
      </c>
    </row>
    <row r="29" spans="1:29" x14ac:dyDescent="0.25">
      <c r="A29" s="177">
        <v>26</v>
      </c>
      <c r="B29" t="s">
        <v>307</v>
      </c>
      <c r="C29" s="69">
        <v>20</v>
      </c>
      <c r="D29" s="70">
        <v>0</v>
      </c>
      <c r="E29" s="5">
        <f t="shared" si="17"/>
        <v>0</v>
      </c>
      <c r="F29" s="5"/>
      <c r="G29" s="118"/>
      <c r="H29" t="s">
        <v>306</v>
      </c>
      <c r="K29" s="71">
        <v>22</v>
      </c>
      <c r="L29" s="1">
        <v>24</v>
      </c>
      <c r="M29" s="9">
        <v>16.91</v>
      </c>
      <c r="N29" s="5">
        <f t="shared" si="18"/>
        <v>8928.48</v>
      </c>
      <c r="P29"/>
      <c r="Q29" s="1"/>
      <c r="U29" t="s">
        <v>271</v>
      </c>
    </row>
    <row r="30" spans="1:29" x14ac:dyDescent="0.25">
      <c r="A30" s="177">
        <v>27</v>
      </c>
      <c r="B30" t="s">
        <v>307</v>
      </c>
      <c r="C30" s="69">
        <v>20</v>
      </c>
      <c r="D30" s="70">
        <v>0</v>
      </c>
      <c r="E30" s="5">
        <f t="shared" si="17"/>
        <v>0</v>
      </c>
      <c r="F30" s="5"/>
      <c r="G30" s="118"/>
      <c r="H30" t="s">
        <v>219</v>
      </c>
      <c r="K30" s="71">
        <v>11</v>
      </c>
      <c r="L30" s="1">
        <v>24</v>
      </c>
      <c r="M30" s="9">
        <v>28.93</v>
      </c>
      <c r="N30" s="5">
        <f t="shared" ref="N30:N33" si="19">K30*L30*M30</f>
        <v>7637.5199999999995</v>
      </c>
      <c r="P30"/>
      <c r="Q30" s="1"/>
      <c r="U30" t="s">
        <v>273</v>
      </c>
    </row>
    <row r="31" spans="1:29" x14ac:dyDescent="0.25">
      <c r="A31" s="177">
        <v>28</v>
      </c>
      <c r="B31" t="s">
        <v>336</v>
      </c>
      <c r="C31" s="69">
        <v>15</v>
      </c>
      <c r="D31" s="70">
        <v>0</v>
      </c>
      <c r="E31" s="5">
        <f t="shared" si="17"/>
        <v>0</v>
      </c>
      <c r="F31" s="5"/>
      <c r="G31" s="118"/>
      <c r="H31" t="s">
        <v>216</v>
      </c>
      <c r="K31" s="71">
        <v>11</v>
      </c>
      <c r="L31" s="1">
        <v>24</v>
      </c>
      <c r="M31" s="9">
        <v>22.39</v>
      </c>
      <c r="N31" s="5">
        <f t="shared" si="19"/>
        <v>5910.96</v>
      </c>
      <c r="P31"/>
      <c r="Q31" s="1"/>
      <c r="U31" t="s">
        <v>272</v>
      </c>
    </row>
    <row r="32" spans="1:29" x14ac:dyDescent="0.25">
      <c r="A32" s="177">
        <v>29</v>
      </c>
      <c r="B32" t="s">
        <v>337</v>
      </c>
      <c r="C32" s="69">
        <v>15</v>
      </c>
      <c r="D32" s="70">
        <v>48</v>
      </c>
      <c r="E32" s="5">
        <f t="shared" si="17"/>
        <v>720</v>
      </c>
      <c r="F32" s="5"/>
      <c r="G32" s="118"/>
      <c r="H32" t="s">
        <v>216</v>
      </c>
      <c r="K32" s="71">
        <v>11</v>
      </c>
      <c r="L32" s="1">
        <v>24</v>
      </c>
      <c r="M32" s="9">
        <v>23.06</v>
      </c>
      <c r="N32" s="5">
        <f t="shared" si="19"/>
        <v>6087.8399999999992</v>
      </c>
      <c r="P32"/>
      <c r="Q32" s="1"/>
      <c r="U32" t="s">
        <v>274</v>
      </c>
    </row>
    <row r="33" spans="1:21" x14ac:dyDescent="0.25">
      <c r="A33" s="177">
        <v>30</v>
      </c>
      <c r="B33" t="s">
        <v>337</v>
      </c>
      <c r="C33" s="69">
        <v>15</v>
      </c>
      <c r="D33" s="70">
        <v>48</v>
      </c>
      <c r="E33" s="5">
        <f t="shared" si="17"/>
        <v>720</v>
      </c>
      <c r="F33" s="5"/>
      <c r="G33" s="118"/>
      <c r="H33" t="s">
        <v>220</v>
      </c>
      <c r="K33" s="71">
        <v>0</v>
      </c>
      <c r="L33" s="1">
        <v>24</v>
      </c>
      <c r="M33" s="9">
        <v>24.48</v>
      </c>
      <c r="N33" s="5">
        <f t="shared" si="19"/>
        <v>0</v>
      </c>
      <c r="P33" s="214" t="s">
        <v>234</v>
      </c>
      <c r="Q33" s="214"/>
      <c r="R33" s="42">
        <f>SUM(R23+N27+N28+N29)</f>
        <v>324166.42</v>
      </c>
      <c r="S33" s="42"/>
      <c r="U33" t="s">
        <v>220</v>
      </c>
    </row>
    <row r="34" spans="1:21" x14ac:dyDescent="0.25">
      <c r="A34" s="177">
        <v>31</v>
      </c>
      <c r="B34" t="s">
        <v>337</v>
      </c>
      <c r="C34" s="69">
        <v>15</v>
      </c>
      <c r="D34" s="70">
        <v>48</v>
      </c>
      <c r="E34" s="5">
        <f t="shared" si="17"/>
        <v>720</v>
      </c>
      <c r="F34" s="5"/>
      <c r="G34" s="118"/>
      <c r="L34" s="8" t="s">
        <v>71</v>
      </c>
      <c r="M34" s="5">
        <f>SUM(N27:N33)</f>
        <v>42110.64</v>
      </c>
      <c r="O34" s="214"/>
      <c r="P34" s="214"/>
      <c r="Q34" s="214"/>
      <c r="R34" s="108"/>
      <c r="S34" s="108"/>
    </row>
    <row r="35" spans="1:21" x14ac:dyDescent="0.25">
      <c r="A35" s="177">
        <v>32</v>
      </c>
      <c r="B35" t="s">
        <v>337</v>
      </c>
      <c r="C35" s="69">
        <v>15</v>
      </c>
      <c r="D35" s="70">
        <v>48</v>
      </c>
      <c r="E35" s="5">
        <f t="shared" si="17"/>
        <v>720</v>
      </c>
      <c r="F35" s="4"/>
      <c r="G35" s="4"/>
      <c r="M35" t="s">
        <v>277</v>
      </c>
      <c r="Q35" s="8" t="s">
        <v>233</v>
      </c>
      <c r="R35" s="42">
        <f>S23+N30+N31+N32+N33</f>
        <v>264152.95</v>
      </c>
      <c r="S35" s="42"/>
    </row>
    <row r="36" spans="1:21" x14ac:dyDescent="0.25">
      <c r="A36" s="177">
        <v>33</v>
      </c>
      <c r="B36" t="s">
        <v>337</v>
      </c>
      <c r="C36" s="69">
        <v>15</v>
      </c>
      <c r="D36" s="70">
        <v>48</v>
      </c>
      <c r="E36" s="5">
        <f t="shared" si="17"/>
        <v>720</v>
      </c>
      <c r="F36" s="4"/>
      <c r="G36" s="4"/>
      <c r="H36" s="6"/>
      <c r="J36" s="12" t="s">
        <v>36</v>
      </c>
      <c r="K36" s="12" t="s">
        <v>37</v>
      </c>
      <c r="L36" s="12" t="s">
        <v>38</v>
      </c>
      <c r="M36" s="12" t="s">
        <v>226</v>
      </c>
      <c r="N36" s="12" t="s">
        <v>52</v>
      </c>
      <c r="P36"/>
      <c r="R36" s="1"/>
      <c r="S36" s="116"/>
    </row>
    <row r="37" spans="1:21" x14ac:dyDescent="0.25">
      <c r="A37" s="177">
        <v>34</v>
      </c>
      <c r="B37" t="s">
        <v>338</v>
      </c>
      <c r="C37" s="69">
        <v>15</v>
      </c>
      <c r="D37" s="70">
        <v>480</v>
      </c>
      <c r="E37" s="5">
        <f t="shared" si="17"/>
        <v>7200</v>
      </c>
      <c r="F37" s="4"/>
      <c r="G37" s="4"/>
      <c r="H37" t="s">
        <v>7</v>
      </c>
      <c r="J37" s="4">
        <f>P4</f>
        <v>0</v>
      </c>
      <c r="K37" s="4">
        <f>Q4</f>
        <v>0</v>
      </c>
      <c r="L37" s="4">
        <f>R4</f>
        <v>0</v>
      </c>
      <c r="M37" s="4">
        <f>S4</f>
        <v>0</v>
      </c>
      <c r="N37" s="4">
        <f>SUM(J37:M37)</f>
        <v>0</v>
      </c>
      <c r="P37"/>
      <c r="Q37" s="8" t="s">
        <v>98</v>
      </c>
      <c r="R37" s="87">
        <f>SUM(N37:N38)</f>
        <v>728320.77</v>
      </c>
      <c r="S37" s="87"/>
    </row>
    <row r="38" spans="1:21" x14ac:dyDescent="0.25">
      <c r="A38" s="177">
        <v>35</v>
      </c>
      <c r="D38" s="10"/>
      <c r="H38" t="s">
        <v>9</v>
      </c>
      <c r="J38" s="4">
        <f>SUM(P9:P12)</f>
        <v>70000.700000000012</v>
      </c>
      <c r="K38" s="4">
        <f>SUM(Q9:Q12)</f>
        <v>70000.700000000012</v>
      </c>
      <c r="L38" s="4">
        <f>R33</f>
        <v>324166.42</v>
      </c>
      <c r="M38" s="4">
        <f>R35</f>
        <v>264152.95</v>
      </c>
      <c r="N38" s="4">
        <f>SUM(J38:M38)</f>
        <v>728320.77</v>
      </c>
      <c r="P38"/>
      <c r="Q38" t="s">
        <v>268</v>
      </c>
      <c r="R38" s="158">
        <f>E39</f>
        <v>13680</v>
      </c>
      <c r="S38" s="116"/>
    </row>
    <row r="39" spans="1:21" x14ac:dyDescent="0.25">
      <c r="A39" s="177">
        <v>36</v>
      </c>
      <c r="B39" s="8" t="s">
        <v>53</v>
      </c>
      <c r="C39" s="5"/>
      <c r="D39" s="1">
        <f>SUM(D26:D38)</f>
        <v>864</v>
      </c>
      <c r="E39" s="5">
        <f>SUM(E26:E38)</f>
        <v>13680</v>
      </c>
      <c r="H39" t="s">
        <v>15</v>
      </c>
      <c r="J39" s="4">
        <f>SUM(P5:P6)</f>
        <v>32273.1</v>
      </c>
      <c r="K39" s="4">
        <f>SUM(Q5:Q6)</f>
        <v>32273.1</v>
      </c>
      <c r="L39" s="4">
        <f>SUM(R5:R6)</f>
        <v>24327.5</v>
      </c>
      <c r="M39" s="4">
        <f>SUM(S5:S6)</f>
        <v>18703.3</v>
      </c>
      <c r="N39" s="4">
        <f>SUM(J39:M39)</f>
        <v>107577</v>
      </c>
      <c r="P39" s="214" t="s">
        <v>123</v>
      </c>
      <c r="Q39" s="214"/>
      <c r="R39" s="87">
        <f>SUM(N39:N40)</f>
        <v>107577</v>
      </c>
      <c r="S39" s="87"/>
    </row>
    <row r="40" spans="1:21" x14ac:dyDescent="0.25">
      <c r="A40" s="177">
        <v>37</v>
      </c>
      <c r="J40" s="4"/>
      <c r="K40" s="4"/>
      <c r="L40" s="4"/>
      <c r="N40" s="4"/>
      <c r="P40"/>
      <c r="R40" s="4"/>
      <c r="S40" s="4"/>
    </row>
    <row r="41" spans="1:21" x14ac:dyDescent="0.25">
      <c r="A41" s="177">
        <v>38</v>
      </c>
      <c r="J41" s="4"/>
      <c r="K41" s="4"/>
      <c r="L41" s="4"/>
      <c r="P41"/>
    </row>
    <row r="42" spans="1:21" x14ac:dyDescent="0.25">
      <c r="A42" s="177">
        <v>39</v>
      </c>
      <c r="B42" s="221" t="s">
        <v>117</v>
      </c>
      <c r="C42" s="221"/>
      <c r="D42" s="38">
        <f>N44+N42+M34+E39+J45</f>
        <v>942826.33683000004</v>
      </c>
      <c r="I42" t="s">
        <v>72</v>
      </c>
      <c r="J42" s="4">
        <f>SUM(J37:J40)</f>
        <v>102273.80000000002</v>
      </c>
      <c r="K42" s="4">
        <f t="shared" ref="K42:M42" si="20">SUM(K37:K40)</f>
        <v>102273.80000000002</v>
      </c>
      <c r="L42" s="4">
        <f t="shared" si="20"/>
        <v>348493.92</v>
      </c>
      <c r="M42" s="41">
        <f t="shared" si="20"/>
        <v>282856.25</v>
      </c>
      <c r="N42" s="4">
        <f>SUM(N37:N40)</f>
        <v>835897.77</v>
      </c>
      <c r="P42" s="8"/>
      <c r="Q42" s="5"/>
      <c r="R42" s="88">
        <f>SUM(R37:R41)</f>
        <v>849577.77</v>
      </c>
      <c r="S42" s="88"/>
    </row>
    <row r="43" spans="1:21" ht="15.75" customHeight="1" x14ac:dyDescent="0.25">
      <c r="A43" s="177">
        <v>40</v>
      </c>
      <c r="P43"/>
      <c r="R43" s="1"/>
      <c r="S43" s="116"/>
    </row>
    <row r="44" spans="1:21" ht="15.75" customHeight="1" x14ac:dyDescent="0.25">
      <c r="A44" s="177">
        <v>41</v>
      </c>
      <c r="C44" s="1"/>
      <c r="D44" s="1"/>
      <c r="E44" s="1"/>
      <c r="H44" t="s">
        <v>122</v>
      </c>
      <c r="I44" s="4"/>
      <c r="J44" s="4">
        <f>J38*0.07</f>
        <v>4900.0490000000009</v>
      </c>
      <c r="K44" s="4">
        <f>K38*0.07</f>
        <v>4900.0490000000009</v>
      </c>
      <c r="L44" s="4">
        <f>L38*0.099</f>
        <v>32092.475579999998</v>
      </c>
      <c r="M44" s="4">
        <f>M38*0.035</f>
        <v>9245.3532500000019</v>
      </c>
      <c r="N44" s="4">
        <f>SUM(J44:M44)</f>
        <v>51137.926829999997</v>
      </c>
      <c r="P44"/>
      <c r="R44" s="1"/>
      <c r="S44" s="116"/>
    </row>
    <row r="45" spans="1:21" x14ac:dyDescent="0.25">
      <c r="A45" s="177">
        <v>42</v>
      </c>
      <c r="F45" s="214" t="s">
        <v>207</v>
      </c>
      <c r="G45" s="214"/>
      <c r="H45" s="214"/>
      <c r="I45" s="214"/>
      <c r="J45" s="4">
        <v>0</v>
      </c>
    </row>
    <row r="46" spans="1:21" x14ac:dyDescent="0.25">
      <c r="J46" s="4"/>
      <c r="K46" s="4"/>
      <c r="L46" s="4"/>
    </row>
  </sheetData>
  <sheetProtection selectLockedCells="1"/>
  <mergeCells count="31">
    <mergeCell ref="F45:I45"/>
    <mergeCell ref="P39:Q39"/>
    <mergeCell ref="N3:O3"/>
    <mergeCell ref="N13:O13"/>
    <mergeCell ref="N5:O5"/>
    <mergeCell ref="N4:O4"/>
    <mergeCell ref="P33:Q33"/>
    <mergeCell ref="O34:Q34"/>
    <mergeCell ref="N16:O16"/>
    <mergeCell ref="B42:C42"/>
    <mergeCell ref="A1:R1"/>
    <mergeCell ref="N2:O2"/>
    <mergeCell ref="B24:R24"/>
    <mergeCell ref="N8:O8"/>
    <mergeCell ref="P2:R2"/>
    <mergeCell ref="D2:F2"/>
    <mergeCell ref="N21:O21"/>
    <mergeCell ref="N20:O20"/>
    <mergeCell ref="N19:O19"/>
    <mergeCell ref="N18:O18"/>
    <mergeCell ref="N15:O15"/>
    <mergeCell ref="N14:O14"/>
    <mergeCell ref="H2:I2"/>
    <mergeCell ref="N12:O12"/>
    <mergeCell ref="N11:O11"/>
    <mergeCell ref="V2:Y2"/>
    <mergeCell ref="Z2:AC2"/>
    <mergeCell ref="K2:L2"/>
    <mergeCell ref="N10:O10"/>
    <mergeCell ref="N9:O9"/>
    <mergeCell ref="N6:O6"/>
  </mergeCells>
  <printOptions horizontalCentered="1" headings="1"/>
  <pageMargins left="0" right="0" top="1.25" bottom="0" header="0.3" footer="0.3"/>
  <pageSetup scale="39" orientation="landscape" r:id="rId1"/>
  <headerFooter>
    <oddHeader>&amp;C&amp;"Times New Roman,Bold"&amp;20Chester Public Utility District
FY 22-23&amp;RPage 2</oddHeader>
  </headerFooter>
  <ignoredErrors>
    <ignoredError sqref="F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5"/>
  <sheetViews>
    <sheetView view="pageLayout" topLeftCell="A259" zoomScaleNormal="80" zoomScaleSheetLayoutView="100" workbookViewId="0">
      <selection activeCell="H7" sqref="H7"/>
    </sheetView>
  </sheetViews>
  <sheetFormatPr defaultRowHeight="15.75" x14ac:dyDescent="0.25"/>
  <cols>
    <col min="1" max="1" width="3.875" bestFit="1" customWidth="1"/>
    <col min="2" max="2" width="25.625" customWidth="1"/>
    <col min="3" max="3" width="10.875" bestFit="1" customWidth="1"/>
    <col min="4" max="4" width="10.875" customWidth="1"/>
    <col min="5" max="5" width="9.875" bestFit="1" customWidth="1"/>
    <col min="6" max="6" width="10.625" bestFit="1" customWidth="1"/>
    <col min="17" max="17" width="11.625" customWidth="1"/>
    <col min="18" max="20" width="10.625" customWidth="1"/>
  </cols>
  <sheetData>
    <row r="1" spans="1:24" ht="23.25" x14ac:dyDescent="0.35">
      <c r="A1" s="228" t="s">
        <v>284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</row>
    <row r="2" spans="1:24" ht="15.75" customHeight="1" x14ac:dyDescent="0.25">
      <c r="A2" s="1"/>
      <c r="B2" s="1"/>
      <c r="C2" s="236" t="s">
        <v>83</v>
      </c>
      <c r="D2" s="237"/>
      <c r="E2" s="215" t="s">
        <v>84</v>
      </c>
      <c r="F2" s="215"/>
      <c r="G2" s="215"/>
      <c r="H2" s="215"/>
      <c r="I2" s="236" t="s">
        <v>87</v>
      </c>
      <c r="J2" s="215"/>
      <c r="K2" s="215"/>
      <c r="L2" s="237"/>
      <c r="M2" s="215" t="s">
        <v>89</v>
      </c>
      <c r="N2" s="215"/>
      <c r="O2" s="215"/>
      <c r="P2" s="215"/>
      <c r="Q2" s="224" t="s">
        <v>275</v>
      </c>
      <c r="R2" s="224" t="s">
        <v>120</v>
      </c>
      <c r="S2" s="224" t="s">
        <v>276</v>
      </c>
      <c r="U2" s="1"/>
      <c r="V2" s="1"/>
      <c r="W2" s="1"/>
      <c r="X2" s="1"/>
    </row>
    <row r="3" spans="1:24" ht="15.75" customHeight="1" x14ac:dyDescent="0.25">
      <c r="C3" s="236" t="s">
        <v>204</v>
      </c>
      <c r="D3" s="237"/>
      <c r="E3" s="1" t="s">
        <v>85</v>
      </c>
      <c r="F3" s="1" t="s">
        <v>86</v>
      </c>
      <c r="G3" s="1" t="s">
        <v>85</v>
      </c>
      <c r="H3" s="1" t="s">
        <v>86</v>
      </c>
      <c r="I3" s="24" t="s">
        <v>85</v>
      </c>
      <c r="J3" s="1" t="s">
        <v>86</v>
      </c>
      <c r="K3" s="1" t="s">
        <v>85</v>
      </c>
      <c r="L3" s="25" t="s">
        <v>86</v>
      </c>
      <c r="M3" s="1" t="s">
        <v>85</v>
      </c>
      <c r="N3" s="1" t="s">
        <v>86</v>
      </c>
      <c r="O3" s="1" t="s">
        <v>85</v>
      </c>
      <c r="P3" s="1" t="s">
        <v>86</v>
      </c>
      <c r="Q3" s="224"/>
      <c r="R3" s="224"/>
      <c r="S3" s="224"/>
      <c r="T3" s="16"/>
    </row>
    <row r="4" spans="1:24" ht="26.25" customHeight="1" x14ac:dyDescent="0.25">
      <c r="A4" s="7"/>
      <c r="B4" s="7" t="s">
        <v>67</v>
      </c>
      <c r="C4" s="18" t="s">
        <v>280</v>
      </c>
      <c r="D4" s="19" t="s">
        <v>281</v>
      </c>
      <c r="E4" s="233" t="s">
        <v>280</v>
      </c>
      <c r="F4" s="233"/>
      <c r="G4" s="234" t="s">
        <v>281</v>
      </c>
      <c r="H4" s="235"/>
      <c r="I4" s="233" t="s">
        <v>280</v>
      </c>
      <c r="J4" s="233"/>
      <c r="K4" s="234" t="s">
        <v>281</v>
      </c>
      <c r="L4" s="235"/>
      <c r="M4" s="233" t="s">
        <v>280</v>
      </c>
      <c r="N4" s="233"/>
      <c r="O4" s="234" t="s">
        <v>281</v>
      </c>
      <c r="P4" s="235"/>
      <c r="Q4" s="28" t="s">
        <v>88</v>
      </c>
      <c r="R4" s="224"/>
      <c r="S4" s="225"/>
      <c r="T4" s="16"/>
    </row>
    <row r="5" spans="1:24" x14ac:dyDescent="0.25">
      <c r="A5" s="1">
        <v>1</v>
      </c>
      <c r="B5" t="s">
        <v>35</v>
      </c>
      <c r="C5" s="97">
        <v>0</v>
      </c>
      <c r="D5" s="33">
        <f>C5*1.05</f>
        <v>0</v>
      </c>
      <c r="E5" s="9">
        <v>0</v>
      </c>
      <c r="F5" s="72">
        <v>0</v>
      </c>
      <c r="G5" s="9">
        <f>(H5*2)/6</f>
        <v>0</v>
      </c>
      <c r="H5" s="9">
        <f>F5*1.05</f>
        <v>0</v>
      </c>
      <c r="I5" s="20">
        <v>0</v>
      </c>
      <c r="J5" s="72">
        <v>0</v>
      </c>
      <c r="K5" s="9">
        <f>(L5*2)/6</f>
        <v>0</v>
      </c>
      <c r="L5" s="33">
        <f>J5*1.05</f>
        <v>0</v>
      </c>
      <c r="M5" s="9">
        <v>0</v>
      </c>
      <c r="N5" s="72">
        <v>0</v>
      </c>
      <c r="O5" s="9">
        <f>(P5*2)/6</f>
        <v>0</v>
      </c>
      <c r="P5" s="9">
        <f>N5*1.05</f>
        <v>0</v>
      </c>
      <c r="Q5" s="99">
        <v>0</v>
      </c>
      <c r="R5" s="106"/>
      <c r="S5" s="106"/>
      <c r="T5" s="5"/>
    </row>
    <row r="6" spans="1:24" x14ac:dyDescent="0.25">
      <c r="A6" s="1">
        <v>2</v>
      </c>
      <c r="B6" t="s">
        <v>40</v>
      </c>
      <c r="C6" s="97">
        <v>799</v>
      </c>
      <c r="D6" s="33">
        <f t="shared" ref="D6:D26" si="0">C6*1.05</f>
        <v>838.95</v>
      </c>
      <c r="E6" s="9">
        <f t="shared" ref="E6:E20" si="1">(F6*2)/6</f>
        <v>66.666666666666671</v>
      </c>
      <c r="F6" s="72">
        <v>200</v>
      </c>
      <c r="G6" s="9">
        <f t="shared" ref="G6:G20" si="2">(H6*2)/6</f>
        <v>70</v>
      </c>
      <c r="H6" s="9">
        <f t="shared" ref="H6:H10" si="3">F6*1.05</f>
        <v>210</v>
      </c>
      <c r="I6" s="20">
        <f>(J6*4)/12</f>
        <v>16.733333333333334</v>
      </c>
      <c r="J6" s="72">
        <v>50.2</v>
      </c>
      <c r="K6" s="9">
        <f t="shared" ref="K6:K20" si="4">(L6*2)/6</f>
        <v>17.570000000000004</v>
      </c>
      <c r="L6" s="33">
        <f t="shared" ref="L6:L20" si="5">J6*1.05</f>
        <v>52.710000000000008</v>
      </c>
      <c r="M6" s="9">
        <f>(N6*4)</f>
        <v>540</v>
      </c>
      <c r="N6" s="72">
        <v>135</v>
      </c>
      <c r="O6" s="9">
        <f t="shared" ref="O6:O9" si="6">(P6*2)/6</f>
        <v>0</v>
      </c>
      <c r="P6" s="9">
        <v>0</v>
      </c>
      <c r="Q6" s="99">
        <v>160</v>
      </c>
      <c r="R6" s="106"/>
      <c r="S6" s="106">
        <v>1200</v>
      </c>
      <c r="T6" s="5"/>
    </row>
    <row r="7" spans="1:24" x14ac:dyDescent="0.25">
      <c r="A7" s="1">
        <v>3</v>
      </c>
      <c r="B7" t="s">
        <v>41</v>
      </c>
      <c r="C7" s="97">
        <v>1725</v>
      </c>
      <c r="D7" s="33">
        <f t="shared" si="0"/>
        <v>1811.25</v>
      </c>
      <c r="E7" s="9">
        <f t="shared" si="1"/>
        <v>233.33333333333334</v>
      </c>
      <c r="F7" s="72">
        <v>700</v>
      </c>
      <c r="G7" s="9">
        <v>245</v>
      </c>
      <c r="H7" s="9">
        <f>F7*1.05</f>
        <v>735</v>
      </c>
      <c r="I7" s="20">
        <f t="shared" ref="I7:I20" si="7">(J7*2)/6</f>
        <v>28.566666666666666</v>
      </c>
      <c r="J7" s="72">
        <v>85.7</v>
      </c>
      <c r="K7" s="9">
        <f t="shared" si="4"/>
        <v>29.995000000000005</v>
      </c>
      <c r="L7" s="33">
        <f t="shared" si="5"/>
        <v>89.985000000000014</v>
      </c>
      <c r="M7" s="9">
        <f t="shared" ref="M7:M27" si="8">(N7*4)</f>
        <v>540</v>
      </c>
      <c r="N7" s="72">
        <v>135</v>
      </c>
      <c r="O7" s="9">
        <v>0</v>
      </c>
      <c r="P7" s="9">
        <v>0</v>
      </c>
      <c r="Q7" s="99">
        <v>160</v>
      </c>
      <c r="R7" s="106"/>
      <c r="S7" s="106">
        <v>1200</v>
      </c>
      <c r="T7" s="5"/>
    </row>
    <row r="8" spans="1:24" x14ac:dyDescent="0.25">
      <c r="A8" s="1">
        <v>4</v>
      </c>
      <c r="B8" t="s">
        <v>42</v>
      </c>
      <c r="C8" s="97">
        <v>0</v>
      </c>
      <c r="D8" s="33">
        <f t="shared" si="0"/>
        <v>0</v>
      </c>
      <c r="E8" s="9">
        <f t="shared" si="1"/>
        <v>0</v>
      </c>
      <c r="F8" s="72">
        <v>0</v>
      </c>
      <c r="G8" s="9">
        <f t="shared" si="2"/>
        <v>0</v>
      </c>
      <c r="H8" s="9">
        <f t="shared" si="3"/>
        <v>0</v>
      </c>
      <c r="I8" s="20">
        <f t="shared" si="7"/>
        <v>0</v>
      </c>
      <c r="J8" s="72">
        <v>0</v>
      </c>
      <c r="K8" s="9">
        <f t="shared" si="4"/>
        <v>0</v>
      </c>
      <c r="L8" s="33">
        <f t="shared" si="5"/>
        <v>0</v>
      </c>
      <c r="M8" s="9">
        <f t="shared" si="8"/>
        <v>0</v>
      </c>
      <c r="N8" s="72">
        <v>0</v>
      </c>
      <c r="O8" s="9">
        <f t="shared" si="6"/>
        <v>0</v>
      </c>
      <c r="P8" s="9">
        <f t="shared" ref="P8" si="9">N8*1.05</f>
        <v>0</v>
      </c>
      <c r="Q8" s="99"/>
      <c r="R8" s="106"/>
      <c r="S8" s="106">
        <v>0</v>
      </c>
      <c r="T8" s="5"/>
    </row>
    <row r="9" spans="1:24" x14ac:dyDescent="0.25">
      <c r="A9" s="137">
        <v>5</v>
      </c>
      <c r="B9" t="s">
        <v>43</v>
      </c>
      <c r="C9" s="97">
        <v>799</v>
      </c>
      <c r="D9" s="33">
        <f t="shared" si="0"/>
        <v>838.95</v>
      </c>
      <c r="E9" s="9">
        <f t="shared" si="1"/>
        <v>66.666666666666671</v>
      </c>
      <c r="F9" s="72">
        <v>200</v>
      </c>
      <c r="G9" s="9">
        <f t="shared" si="2"/>
        <v>70</v>
      </c>
      <c r="H9" s="9">
        <f t="shared" si="3"/>
        <v>210</v>
      </c>
      <c r="I9" s="20">
        <f t="shared" si="7"/>
        <v>16.733333333333334</v>
      </c>
      <c r="J9" s="72">
        <v>50.2</v>
      </c>
      <c r="K9" s="9">
        <f t="shared" si="4"/>
        <v>17.570000000000004</v>
      </c>
      <c r="L9" s="33">
        <f t="shared" si="5"/>
        <v>52.710000000000008</v>
      </c>
      <c r="M9" s="9">
        <f t="shared" si="8"/>
        <v>540</v>
      </c>
      <c r="N9" s="72">
        <v>135</v>
      </c>
      <c r="O9" s="9">
        <f t="shared" si="6"/>
        <v>0</v>
      </c>
      <c r="P9" s="9">
        <v>0</v>
      </c>
      <c r="Q9" s="99">
        <v>160</v>
      </c>
      <c r="R9" s="106"/>
      <c r="S9" s="106">
        <v>1200</v>
      </c>
      <c r="T9" s="5"/>
    </row>
    <row r="10" spans="1:24" x14ac:dyDescent="0.25">
      <c r="A10" s="137">
        <v>6</v>
      </c>
      <c r="B10" t="s">
        <v>45</v>
      </c>
      <c r="C10" s="97">
        <v>799</v>
      </c>
      <c r="D10" s="33">
        <f t="shared" si="0"/>
        <v>838.95</v>
      </c>
      <c r="E10" s="9">
        <f t="shared" si="1"/>
        <v>66.666666666666671</v>
      </c>
      <c r="F10" s="72">
        <v>200</v>
      </c>
      <c r="G10" s="9">
        <f t="shared" si="2"/>
        <v>70</v>
      </c>
      <c r="H10" s="9">
        <f t="shared" si="3"/>
        <v>210</v>
      </c>
      <c r="I10" s="20">
        <f t="shared" si="7"/>
        <v>16.733333333333334</v>
      </c>
      <c r="J10" s="72">
        <v>50.2</v>
      </c>
      <c r="K10" s="9">
        <f t="shared" si="4"/>
        <v>17.570000000000004</v>
      </c>
      <c r="L10" s="33">
        <f t="shared" si="5"/>
        <v>52.710000000000008</v>
      </c>
      <c r="M10" s="9">
        <f t="shared" si="8"/>
        <v>540</v>
      </c>
      <c r="N10" s="72">
        <v>135</v>
      </c>
      <c r="O10" s="9">
        <v>0</v>
      </c>
      <c r="P10" s="9">
        <v>0</v>
      </c>
      <c r="Q10" s="99">
        <v>160</v>
      </c>
      <c r="R10" s="106"/>
      <c r="S10" s="106">
        <v>1200</v>
      </c>
      <c r="T10" s="5"/>
    </row>
    <row r="11" spans="1:24" x14ac:dyDescent="0.25">
      <c r="A11" s="137">
        <v>7</v>
      </c>
      <c r="B11" t="s">
        <v>45</v>
      </c>
      <c r="C11" s="97">
        <v>799</v>
      </c>
      <c r="D11" s="33">
        <f t="shared" si="0"/>
        <v>838.95</v>
      </c>
      <c r="E11" s="9">
        <f t="shared" ref="E11" si="10">(F11*2)/6</f>
        <v>66.666666666666671</v>
      </c>
      <c r="F11" s="72">
        <v>200</v>
      </c>
      <c r="G11" s="9">
        <f t="shared" ref="G11" si="11">(H11*2)/6</f>
        <v>70</v>
      </c>
      <c r="H11" s="9">
        <f t="shared" ref="H11" si="12">F11*1.05</f>
        <v>210</v>
      </c>
      <c r="I11" s="20">
        <f t="shared" si="7"/>
        <v>16.733333333333334</v>
      </c>
      <c r="J11" s="72">
        <v>50.2</v>
      </c>
      <c r="K11" s="9">
        <f t="shared" si="4"/>
        <v>17.570000000000004</v>
      </c>
      <c r="L11" s="33">
        <f t="shared" si="5"/>
        <v>52.710000000000008</v>
      </c>
      <c r="M11" s="9">
        <f t="shared" si="8"/>
        <v>540</v>
      </c>
      <c r="N11" s="72">
        <v>135</v>
      </c>
      <c r="O11" s="9">
        <v>0</v>
      </c>
      <c r="P11" s="9">
        <v>0</v>
      </c>
      <c r="Q11" s="99">
        <v>160</v>
      </c>
      <c r="R11" s="106"/>
      <c r="S11" s="106">
        <v>1200</v>
      </c>
      <c r="T11" s="5"/>
    </row>
    <row r="12" spans="1:24" x14ac:dyDescent="0.25">
      <c r="A12" s="137">
        <v>8</v>
      </c>
      <c r="B12" t="s">
        <v>39</v>
      </c>
      <c r="C12" s="97"/>
      <c r="D12" s="33"/>
      <c r="E12" s="9"/>
      <c r="F12" s="72"/>
      <c r="G12" s="9"/>
      <c r="H12" s="9"/>
      <c r="I12" s="20"/>
      <c r="J12" s="72"/>
      <c r="K12" s="9"/>
      <c r="L12" s="33"/>
      <c r="M12" s="9">
        <f t="shared" si="8"/>
        <v>0</v>
      </c>
      <c r="N12" s="72"/>
      <c r="O12" s="9"/>
      <c r="P12" s="9"/>
      <c r="Q12" s="99">
        <v>160</v>
      </c>
      <c r="R12" s="106">
        <v>400</v>
      </c>
      <c r="S12" s="106">
        <v>0</v>
      </c>
      <c r="T12" s="5"/>
    </row>
    <row r="13" spans="1:24" x14ac:dyDescent="0.25">
      <c r="A13" s="137">
        <v>9</v>
      </c>
      <c r="B13" t="s">
        <v>214</v>
      </c>
      <c r="C13" s="97">
        <v>2219</v>
      </c>
      <c r="D13" s="33">
        <f t="shared" si="0"/>
        <v>2329.9500000000003</v>
      </c>
      <c r="E13" s="9">
        <f t="shared" si="1"/>
        <v>233.33333333333334</v>
      </c>
      <c r="F13" s="72">
        <v>700</v>
      </c>
      <c r="G13" s="9">
        <f t="shared" si="2"/>
        <v>245</v>
      </c>
      <c r="H13" s="9">
        <f t="shared" ref="H13:H20" si="13">F13*1.05</f>
        <v>735</v>
      </c>
      <c r="I13" s="20">
        <f t="shared" si="7"/>
        <v>28.566666666666666</v>
      </c>
      <c r="J13" s="72">
        <v>85.7</v>
      </c>
      <c r="K13" s="9">
        <f t="shared" si="4"/>
        <v>29.995000000000005</v>
      </c>
      <c r="L13" s="33">
        <f t="shared" si="5"/>
        <v>89.985000000000014</v>
      </c>
      <c r="M13" s="9">
        <f t="shared" si="8"/>
        <v>540</v>
      </c>
      <c r="N13" s="72">
        <v>135</v>
      </c>
      <c r="O13" s="9"/>
      <c r="P13" s="9"/>
      <c r="Q13" s="99">
        <v>160</v>
      </c>
      <c r="R13" s="106">
        <v>800</v>
      </c>
      <c r="S13" s="106">
        <v>200</v>
      </c>
      <c r="T13" s="5"/>
    </row>
    <row r="14" spans="1:24" x14ac:dyDescent="0.25">
      <c r="A14" s="137">
        <v>10</v>
      </c>
      <c r="B14" t="s">
        <v>215</v>
      </c>
      <c r="C14" s="97">
        <v>2219</v>
      </c>
      <c r="D14" s="33">
        <f t="shared" si="0"/>
        <v>2329.9500000000003</v>
      </c>
      <c r="E14" s="9">
        <f t="shared" si="1"/>
        <v>233.33333333333334</v>
      </c>
      <c r="F14" s="72">
        <v>700</v>
      </c>
      <c r="G14" s="9">
        <f t="shared" si="2"/>
        <v>245</v>
      </c>
      <c r="H14" s="9">
        <f t="shared" si="13"/>
        <v>735</v>
      </c>
      <c r="I14" s="20">
        <f t="shared" si="7"/>
        <v>28.566666666666666</v>
      </c>
      <c r="J14" s="72">
        <v>85.7</v>
      </c>
      <c r="K14" s="9">
        <f t="shared" si="4"/>
        <v>29.995000000000005</v>
      </c>
      <c r="L14" s="33">
        <f t="shared" si="5"/>
        <v>89.985000000000014</v>
      </c>
      <c r="M14" s="9">
        <f t="shared" si="8"/>
        <v>540</v>
      </c>
      <c r="N14" s="72">
        <v>135</v>
      </c>
      <c r="O14" s="9"/>
      <c r="P14" s="9"/>
      <c r="Q14" s="99">
        <v>160</v>
      </c>
      <c r="R14" s="106">
        <v>800</v>
      </c>
      <c r="S14" s="106">
        <v>200</v>
      </c>
      <c r="T14" s="5"/>
    </row>
    <row r="15" spans="1:24" x14ac:dyDescent="0.25">
      <c r="A15" s="137">
        <v>11</v>
      </c>
      <c r="B15" t="s">
        <v>215</v>
      </c>
      <c r="C15" s="97">
        <v>1725</v>
      </c>
      <c r="D15" s="33">
        <f t="shared" si="0"/>
        <v>1811.25</v>
      </c>
      <c r="E15" s="9">
        <f t="shared" ref="E15:E16" si="14">(F15*2)/6</f>
        <v>66.666666666666671</v>
      </c>
      <c r="F15" s="72">
        <v>200</v>
      </c>
      <c r="G15" s="9">
        <f t="shared" ref="G15:G16" si="15">(H15*2)/6</f>
        <v>70</v>
      </c>
      <c r="H15" s="9">
        <f t="shared" ref="H15:H16" si="16">F15*1.05</f>
        <v>210</v>
      </c>
      <c r="I15" s="20">
        <f t="shared" ref="I15:I16" si="17">(J15*2)/6</f>
        <v>28.566666666666666</v>
      </c>
      <c r="J15" s="72">
        <v>85.7</v>
      </c>
      <c r="K15" s="9">
        <f t="shared" ref="K15:K16" si="18">(L15*2)/6</f>
        <v>29.995000000000005</v>
      </c>
      <c r="L15" s="33">
        <f t="shared" ref="L15:L16" si="19">J15*1.05</f>
        <v>89.985000000000014</v>
      </c>
      <c r="M15" s="9">
        <f t="shared" si="8"/>
        <v>540</v>
      </c>
      <c r="N15" s="72">
        <v>135</v>
      </c>
      <c r="O15" s="9"/>
      <c r="P15" s="9"/>
      <c r="Q15" s="99">
        <v>160</v>
      </c>
      <c r="R15" s="106">
        <v>800</v>
      </c>
      <c r="S15" s="106">
        <v>200</v>
      </c>
      <c r="T15" s="5"/>
    </row>
    <row r="16" spans="1:24" x14ac:dyDescent="0.25">
      <c r="A16" s="177">
        <v>12</v>
      </c>
      <c r="B16" t="s">
        <v>215</v>
      </c>
      <c r="C16" s="97">
        <v>2219</v>
      </c>
      <c r="D16" s="33">
        <f t="shared" si="0"/>
        <v>2329.9500000000003</v>
      </c>
      <c r="E16" s="9">
        <f t="shared" si="14"/>
        <v>233.33333333333334</v>
      </c>
      <c r="F16" s="72">
        <v>700</v>
      </c>
      <c r="G16" s="9">
        <f t="shared" si="15"/>
        <v>245</v>
      </c>
      <c r="H16" s="9">
        <f t="shared" si="16"/>
        <v>735</v>
      </c>
      <c r="I16" s="20">
        <f t="shared" si="17"/>
        <v>28.566666666666666</v>
      </c>
      <c r="J16" s="72">
        <v>85.7</v>
      </c>
      <c r="K16" s="9">
        <f t="shared" si="18"/>
        <v>29.995000000000005</v>
      </c>
      <c r="L16" s="33">
        <f t="shared" si="19"/>
        <v>89.985000000000014</v>
      </c>
      <c r="M16" s="9">
        <f t="shared" si="8"/>
        <v>540</v>
      </c>
      <c r="N16" s="72">
        <v>135</v>
      </c>
      <c r="O16" s="9"/>
      <c r="P16" s="9"/>
      <c r="Q16" s="99">
        <v>160</v>
      </c>
      <c r="R16" s="106">
        <v>800</v>
      </c>
      <c r="S16" s="106">
        <v>200</v>
      </c>
      <c r="T16" s="179"/>
    </row>
    <row r="17" spans="1:20" x14ac:dyDescent="0.25">
      <c r="A17" s="177">
        <v>13</v>
      </c>
      <c r="B17" t="s">
        <v>219</v>
      </c>
      <c r="C17" s="97">
        <v>2219</v>
      </c>
      <c r="D17" s="33">
        <f t="shared" si="0"/>
        <v>2329.9500000000003</v>
      </c>
      <c r="E17" s="9">
        <f t="shared" si="1"/>
        <v>233.33333333333334</v>
      </c>
      <c r="F17" s="72">
        <v>700</v>
      </c>
      <c r="G17" s="9">
        <f t="shared" si="2"/>
        <v>245</v>
      </c>
      <c r="H17" s="9">
        <f t="shared" si="13"/>
        <v>735</v>
      </c>
      <c r="I17" s="20">
        <f t="shared" si="7"/>
        <v>28.566666666666666</v>
      </c>
      <c r="J17" s="72">
        <v>85.7</v>
      </c>
      <c r="K17" s="9">
        <f t="shared" si="4"/>
        <v>29.995000000000005</v>
      </c>
      <c r="L17" s="33">
        <f t="shared" si="5"/>
        <v>89.985000000000014</v>
      </c>
      <c r="M17" s="9">
        <f t="shared" si="8"/>
        <v>540</v>
      </c>
      <c r="N17" s="72">
        <v>135</v>
      </c>
      <c r="O17" s="9"/>
      <c r="P17" s="9"/>
      <c r="Q17" s="99">
        <v>160</v>
      </c>
      <c r="R17" s="106">
        <v>800</v>
      </c>
      <c r="S17" s="106">
        <v>200</v>
      </c>
      <c r="T17" s="5"/>
    </row>
    <row r="18" spans="1:20" x14ac:dyDescent="0.25">
      <c r="A18" s="177">
        <v>14</v>
      </c>
      <c r="B18" t="s">
        <v>216</v>
      </c>
      <c r="C18" s="97">
        <v>2223</v>
      </c>
      <c r="D18" s="33">
        <f t="shared" si="0"/>
        <v>2334.15</v>
      </c>
      <c r="E18" s="9">
        <f t="shared" si="1"/>
        <v>233.33333333333334</v>
      </c>
      <c r="F18" s="72">
        <v>700</v>
      </c>
      <c r="G18" s="9">
        <f t="shared" si="2"/>
        <v>245</v>
      </c>
      <c r="H18" s="9">
        <f t="shared" si="13"/>
        <v>735</v>
      </c>
      <c r="I18" s="20">
        <f t="shared" si="7"/>
        <v>28.566666666666666</v>
      </c>
      <c r="J18" s="72">
        <v>85.7</v>
      </c>
      <c r="K18" s="9">
        <f t="shared" si="4"/>
        <v>29.995000000000005</v>
      </c>
      <c r="L18" s="33">
        <f t="shared" si="5"/>
        <v>89.985000000000014</v>
      </c>
      <c r="M18" s="9">
        <f t="shared" si="8"/>
        <v>540</v>
      </c>
      <c r="N18" s="72">
        <v>135</v>
      </c>
      <c r="O18" s="9"/>
      <c r="P18" s="9"/>
      <c r="Q18" s="99">
        <v>160</v>
      </c>
      <c r="R18" s="106">
        <v>800</v>
      </c>
      <c r="S18" s="106">
        <v>200</v>
      </c>
      <c r="T18" s="5"/>
    </row>
    <row r="19" spans="1:20" x14ac:dyDescent="0.25">
      <c r="A19" s="177">
        <v>15</v>
      </c>
      <c r="B19" t="s">
        <v>216</v>
      </c>
      <c r="C19" s="97">
        <v>2219</v>
      </c>
      <c r="D19" s="33">
        <f t="shared" si="0"/>
        <v>2329.9500000000003</v>
      </c>
      <c r="E19" s="9">
        <f t="shared" si="1"/>
        <v>233.33333333333334</v>
      </c>
      <c r="F19" s="72">
        <v>700</v>
      </c>
      <c r="G19" s="9">
        <f t="shared" si="2"/>
        <v>245</v>
      </c>
      <c r="H19" s="9">
        <f t="shared" si="13"/>
        <v>735</v>
      </c>
      <c r="I19" s="20">
        <f t="shared" si="7"/>
        <v>28.566666666666666</v>
      </c>
      <c r="J19" s="72">
        <v>85.7</v>
      </c>
      <c r="K19" s="9">
        <f t="shared" si="4"/>
        <v>29.995000000000005</v>
      </c>
      <c r="L19" s="33">
        <f t="shared" si="5"/>
        <v>89.985000000000014</v>
      </c>
      <c r="M19" s="9">
        <f t="shared" si="8"/>
        <v>540</v>
      </c>
      <c r="N19" s="72">
        <v>135</v>
      </c>
      <c r="O19" s="9"/>
      <c r="P19" s="9"/>
      <c r="Q19" s="99">
        <v>160</v>
      </c>
      <c r="R19" s="106">
        <v>800</v>
      </c>
      <c r="S19" s="106">
        <v>200</v>
      </c>
      <c r="T19" s="5"/>
    </row>
    <row r="20" spans="1:20" x14ac:dyDescent="0.25">
      <c r="A20" s="177">
        <v>16</v>
      </c>
      <c r="B20" t="s">
        <v>220</v>
      </c>
      <c r="C20" s="97">
        <v>0</v>
      </c>
      <c r="D20" s="33">
        <f t="shared" si="0"/>
        <v>0</v>
      </c>
      <c r="E20" s="9">
        <f t="shared" si="1"/>
        <v>0</v>
      </c>
      <c r="F20" s="72">
        <v>0</v>
      </c>
      <c r="G20" s="9">
        <f t="shared" si="2"/>
        <v>0</v>
      </c>
      <c r="H20" s="9">
        <f t="shared" si="13"/>
        <v>0</v>
      </c>
      <c r="I20" s="20">
        <f t="shared" si="7"/>
        <v>0</v>
      </c>
      <c r="J20" s="72">
        <v>0</v>
      </c>
      <c r="K20" s="9">
        <f t="shared" si="4"/>
        <v>0</v>
      </c>
      <c r="L20" s="33">
        <f t="shared" si="5"/>
        <v>0</v>
      </c>
      <c r="M20" s="9">
        <f t="shared" si="8"/>
        <v>0</v>
      </c>
      <c r="N20" s="72">
        <v>0</v>
      </c>
      <c r="O20" s="9"/>
      <c r="P20" s="9"/>
      <c r="Q20" s="99">
        <v>0</v>
      </c>
      <c r="R20" s="106">
        <v>0</v>
      </c>
      <c r="S20" s="106">
        <v>0</v>
      </c>
      <c r="T20" s="5"/>
    </row>
    <row r="21" spans="1:20" x14ac:dyDescent="0.25">
      <c r="A21" s="177">
        <v>17</v>
      </c>
      <c r="B21" t="s">
        <v>221</v>
      </c>
      <c r="C21" s="97">
        <v>0</v>
      </c>
      <c r="D21" s="33">
        <f t="shared" si="0"/>
        <v>0</v>
      </c>
      <c r="E21" s="5"/>
      <c r="F21" s="65"/>
      <c r="G21" s="5"/>
      <c r="H21" s="5"/>
      <c r="I21" s="21"/>
      <c r="J21" s="65"/>
      <c r="K21" s="5"/>
      <c r="L21" s="15"/>
      <c r="M21" s="9">
        <f t="shared" si="8"/>
        <v>0</v>
      </c>
      <c r="N21" s="72">
        <v>0</v>
      </c>
      <c r="O21" s="9"/>
      <c r="P21" s="9"/>
      <c r="Q21" s="99"/>
      <c r="R21" s="106"/>
      <c r="S21" s="106"/>
      <c r="T21" s="5"/>
    </row>
    <row r="22" spans="1:20" x14ac:dyDescent="0.25">
      <c r="A22" s="177">
        <v>18</v>
      </c>
      <c r="B22" t="s">
        <v>222</v>
      </c>
      <c r="C22" s="97">
        <v>381.94</v>
      </c>
      <c r="D22" s="33">
        <f t="shared" si="0"/>
        <v>401.03700000000003</v>
      </c>
      <c r="E22" s="5"/>
      <c r="F22" s="65"/>
      <c r="G22" s="5"/>
      <c r="H22" s="5"/>
      <c r="I22" s="21"/>
      <c r="J22" s="65"/>
      <c r="K22" s="5"/>
      <c r="L22" s="15"/>
      <c r="M22" s="9">
        <f t="shared" si="8"/>
        <v>540</v>
      </c>
      <c r="N22" s="72">
        <v>135</v>
      </c>
      <c r="O22" s="9"/>
      <c r="P22" s="9"/>
      <c r="Q22" s="99"/>
      <c r="R22" s="106"/>
      <c r="S22" s="106"/>
      <c r="T22" s="5"/>
    </row>
    <row r="23" spans="1:20" x14ac:dyDescent="0.25">
      <c r="A23" s="177">
        <v>19</v>
      </c>
      <c r="B23" t="s">
        <v>223</v>
      </c>
      <c r="C23" s="97">
        <v>1899</v>
      </c>
      <c r="D23" s="33">
        <f t="shared" si="0"/>
        <v>1993.95</v>
      </c>
      <c r="E23" s="5"/>
      <c r="F23" s="65"/>
      <c r="G23" s="5"/>
      <c r="H23" s="5"/>
      <c r="I23" s="21"/>
      <c r="J23" s="65">
        <v>0</v>
      </c>
      <c r="K23" s="5"/>
      <c r="L23" s="15"/>
      <c r="M23" s="9">
        <f t="shared" si="8"/>
        <v>540</v>
      </c>
      <c r="N23" s="72">
        <v>135</v>
      </c>
      <c r="O23" s="9"/>
      <c r="P23" s="9"/>
      <c r="Q23" s="99"/>
      <c r="R23" s="106"/>
      <c r="S23" s="106"/>
      <c r="T23" s="5"/>
    </row>
    <row r="24" spans="1:20" x14ac:dyDescent="0.25">
      <c r="A24" s="177">
        <v>20</v>
      </c>
      <c r="B24" t="s">
        <v>227</v>
      </c>
      <c r="C24" s="97">
        <v>1725</v>
      </c>
      <c r="D24" s="33">
        <f t="shared" si="0"/>
        <v>1811.25</v>
      </c>
      <c r="E24" s="5"/>
      <c r="F24" s="65"/>
      <c r="G24" s="5"/>
      <c r="H24" s="5"/>
      <c r="I24" s="21"/>
      <c r="J24" s="65"/>
      <c r="K24" s="5"/>
      <c r="L24" s="15"/>
      <c r="M24" s="9">
        <f t="shared" si="8"/>
        <v>540</v>
      </c>
      <c r="N24" s="72">
        <v>135</v>
      </c>
      <c r="O24" s="9"/>
      <c r="P24" s="9"/>
      <c r="Q24" s="99"/>
      <c r="R24" s="106"/>
      <c r="S24" s="106"/>
      <c r="T24" s="5"/>
    </row>
    <row r="25" spans="1:20" x14ac:dyDescent="0.25">
      <c r="A25" s="177">
        <v>21</v>
      </c>
      <c r="B25" t="s">
        <v>248</v>
      </c>
      <c r="C25" s="97">
        <v>799</v>
      </c>
      <c r="D25" s="33">
        <f t="shared" si="0"/>
        <v>838.95</v>
      </c>
      <c r="E25" s="138"/>
      <c r="F25" s="65"/>
      <c r="G25" s="138"/>
      <c r="H25" s="138"/>
      <c r="I25" s="139"/>
      <c r="J25" s="65"/>
      <c r="K25" s="138"/>
      <c r="L25" s="140"/>
      <c r="M25" s="9">
        <f t="shared" si="8"/>
        <v>540</v>
      </c>
      <c r="N25" s="72">
        <v>135</v>
      </c>
      <c r="O25" s="9"/>
      <c r="P25" s="9"/>
      <c r="Q25" s="99"/>
      <c r="R25" s="106"/>
      <c r="S25" s="106"/>
      <c r="T25" s="138"/>
    </row>
    <row r="26" spans="1:20" x14ac:dyDescent="0.25">
      <c r="A26" s="177">
        <v>22</v>
      </c>
      <c r="B26" t="s">
        <v>249</v>
      </c>
      <c r="C26" s="97">
        <v>1308</v>
      </c>
      <c r="D26" s="33">
        <f t="shared" si="0"/>
        <v>1373.4</v>
      </c>
      <c r="E26" s="138"/>
      <c r="F26" s="65"/>
      <c r="G26" s="138"/>
      <c r="H26" s="138"/>
      <c r="I26" s="139"/>
      <c r="J26" s="65"/>
      <c r="K26" s="138"/>
      <c r="L26" s="140"/>
      <c r="M26" s="9">
        <f t="shared" si="8"/>
        <v>540</v>
      </c>
      <c r="N26" s="72">
        <v>135</v>
      </c>
      <c r="O26" s="9"/>
      <c r="P26" s="9"/>
      <c r="Q26" s="99"/>
      <c r="R26" s="106"/>
      <c r="S26" s="106"/>
      <c r="T26" s="138"/>
    </row>
    <row r="27" spans="1:20" x14ac:dyDescent="0.25">
      <c r="A27" s="177">
        <v>23</v>
      </c>
      <c r="B27" t="s">
        <v>91</v>
      </c>
      <c r="C27" s="97"/>
      <c r="D27" s="33"/>
      <c r="E27" s="5"/>
      <c r="F27" s="65"/>
      <c r="G27" s="5"/>
      <c r="H27" s="5"/>
      <c r="I27" s="21"/>
      <c r="J27" s="65"/>
      <c r="K27" s="5"/>
      <c r="L27" s="15"/>
      <c r="M27" s="5">
        <f t="shared" si="8"/>
        <v>0</v>
      </c>
      <c r="N27" s="65"/>
      <c r="O27" s="5"/>
      <c r="P27" s="5"/>
      <c r="Q27" s="99">
        <v>0</v>
      </c>
      <c r="R27" s="106"/>
      <c r="S27" s="106"/>
      <c r="T27" s="5"/>
    </row>
    <row r="28" spans="1:20" x14ac:dyDescent="0.25">
      <c r="A28" s="177">
        <v>24</v>
      </c>
      <c r="B28" t="s">
        <v>92</v>
      </c>
      <c r="C28" s="97"/>
      <c r="D28" s="33"/>
      <c r="E28" s="5"/>
      <c r="F28" s="65"/>
      <c r="G28" s="5"/>
      <c r="H28" s="5"/>
      <c r="I28" s="21"/>
      <c r="J28" s="65"/>
      <c r="K28" s="5"/>
      <c r="L28" s="15"/>
      <c r="M28" s="5"/>
      <c r="N28" s="65"/>
      <c r="O28" s="5"/>
      <c r="P28" s="5"/>
      <c r="Q28" s="99">
        <v>0</v>
      </c>
      <c r="R28" s="106"/>
      <c r="S28" s="106"/>
      <c r="T28" s="5"/>
    </row>
    <row r="29" spans="1:20" x14ac:dyDescent="0.25">
      <c r="A29" s="177">
        <v>25</v>
      </c>
      <c r="B29" t="s">
        <v>93</v>
      </c>
      <c r="C29" s="98">
        <v>0</v>
      </c>
      <c r="D29" s="15"/>
      <c r="E29" s="5"/>
      <c r="F29" s="65"/>
      <c r="G29" s="5"/>
      <c r="H29" s="4"/>
      <c r="I29" s="26"/>
      <c r="J29" s="64"/>
      <c r="K29" s="4"/>
      <c r="L29" s="27"/>
      <c r="M29" s="4"/>
      <c r="N29" s="64"/>
      <c r="O29" s="4"/>
      <c r="P29" s="4"/>
      <c r="Q29" s="99">
        <v>0</v>
      </c>
      <c r="R29" s="107"/>
      <c r="S29" s="107"/>
      <c r="T29" s="4"/>
    </row>
    <row r="30" spans="1:20" x14ac:dyDescent="0.25">
      <c r="A30" s="177">
        <v>26</v>
      </c>
      <c r="B30" t="s">
        <v>94</v>
      </c>
      <c r="C30" s="98"/>
      <c r="D30" s="15"/>
      <c r="E30" s="5"/>
      <c r="F30" s="65"/>
      <c r="G30" s="5"/>
      <c r="H30" s="4"/>
      <c r="I30" s="26"/>
      <c r="J30" s="64"/>
      <c r="K30" s="4"/>
      <c r="L30" s="27"/>
      <c r="M30" s="4"/>
      <c r="N30" s="64"/>
      <c r="O30" s="4"/>
      <c r="P30" s="4"/>
      <c r="Q30" s="99">
        <v>0</v>
      </c>
      <c r="R30" s="107"/>
      <c r="S30" s="107"/>
      <c r="T30" s="4"/>
    </row>
    <row r="31" spans="1:20" x14ac:dyDescent="0.25">
      <c r="A31" s="177">
        <v>27</v>
      </c>
      <c r="B31" t="s">
        <v>95</v>
      </c>
      <c r="C31" s="98"/>
      <c r="D31" s="15"/>
      <c r="E31" s="5"/>
      <c r="F31" s="65"/>
      <c r="G31" s="5"/>
      <c r="H31" s="5"/>
      <c r="I31" s="26"/>
      <c r="J31" s="65"/>
      <c r="K31" s="4"/>
      <c r="L31" s="27"/>
      <c r="M31" s="4"/>
      <c r="N31" s="65"/>
      <c r="O31" s="4"/>
      <c r="P31" s="4"/>
      <c r="Q31" s="98">
        <v>0</v>
      </c>
      <c r="R31" s="99"/>
      <c r="S31" s="107"/>
      <c r="T31" s="4"/>
    </row>
    <row r="32" spans="1:20" x14ac:dyDescent="0.25">
      <c r="A32" s="177">
        <v>28</v>
      </c>
      <c r="C32" s="21"/>
      <c r="D32" s="15"/>
      <c r="E32" s="5"/>
      <c r="F32" s="5"/>
      <c r="G32" s="5"/>
      <c r="H32" s="4"/>
      <c r="I32" s="26"/>
      <c r="J32" s="4"/>
      <c r="K32" s="4"/>
      <c r="L32" s="27"/>
      <c r="M32" s="4"/>
      <c r="N32" s="4"/>
      <c r="O32" s="4"/>
      <c r="P32" s="4"/>
      <c r="Q32" s="30"/>
      <c r="R32" s="30"/>
      <c r="S32" s="30"/>
      <c r="T32" s="4"/>
    </row>
    <row r="33" spans="1:19" x14ac:dyDescent="0.25">
      <c r="A33" s="177">
        <v>29</v>
      </c>
      <c r="B33" s="8" t="s">
        <v>90</v>
      </c>
      <c r="C33" s="21">
        <f>SUM(C5:C20)</f>
        <v>19964</v>
      </c>
      <c r="D33" s="15">
        <f>SUM(D5:D20)</f>
        <v>20962.200000000004</v>
      </c>
      <c r="E33" s="5">
        <f>SUM(E5:E30)</f>
        <v>1966.6666666666665</v>
      </c>
      <c r="G33" s="5">
        <f>SUM(G5:G30)</f>
        <v>2065</v>
      </c>
      <c r="I33" s="21">
        <f>SUM(I5:I30)</f>
        <v>295.46666666666664</v>
      </c>
      <c r="J33" s="5"/>
      <c r="K33" s="5">
        <f>SUM(K5:K30)</f>
        <v>310.24000000000007</v>
      </c>
      <c r="L33" s="15"/>
      <c r="M33" s="5">
        <f>SUM(M5:M30)</f>
        <v>9180</v>
      </c>
      <c r="N33" s="5"/>
      <c r="O33" s="5">
        <f>SUM(O5:O30)</f>
        <v>0</v>
      </c>
      <c r="Q33" s="29">
        <f>SUM(Q5:Q31)</f>
        <v>2080</v>
      </c>
      <c r="R33" s="31"/>
      <c r="S33" s="31"/>
    </row>
    <row r="34" spans="1:19" x14ac:dyDescent="0.25">
      <c r="A34" s="177">
        <v>30</v>
      </c>
      <c r="B34" s="8" t="s">
        <v>102</v>
      </c>
      <c r="C34" s="21">
        <f>(C21+C22+C23+C24+C25+C26)</f>
        <v>6112.9400000000005</v>
      </c>
      <c r="D34" s="15">
        <f>(D21+D22+D23+D24+D25+D26)</f>
        <v>6418.5869999999995</v>
      </c>
      <c r="F34" s="5">
        <f>SUM(F5:F30)*2</f>
        <v>11800</v>
      </c>
      <c r="H34" s="5">
        <f>SUM(H5:H30)*2</f>
        <v>12390</v>
      </c>
      <c r="I34" s="22"/>
      <c r="J34" s="5">
        <f>SUM(J5:J30)*2</f>
        <v>1772.8000000000004</v>
      </c>
      <c r="L34" s="15">
        <f>SUM(L5:L30)*2</f>
        <v>1861.4400000000003</v>
      </c>
      <c r="N34" s="5">
        <f>SUM(N5:N30)*2</f>
        <v>4590</v>
      </c>
      <c r="P34" s="5">
        <f>SUM(P5:P30)*2</f>
        <v>0</v>
      </c>
      <c r="Q34" s="31"/>
      <c r="R34" s="31"/>
      <c r="S34" s="31"/>
    </row>
    <row r="35" spans="1:19" x14ac:dyDescent="0.25">
      <c r="A35" s="177">
        <v>31</v>
      </c>
      <c r="B35" s="8" t="s">
        <v>97</v>
      </c>
      <c r="C35" s="21">
        <f>C33*6</f>
        <v>119784</v>
      </c>
      <c r="D35" s="15">
        <f>D33*6</f>
        <v>125773.20000000003</v>
      </c>
      <c r="I35" s="22"/>
      <c r="L35" s="23"/>
      <c r="Q35" s="31"/>
      <c r="R35" s="31"/>
      <c r="S35" s="31"/>
    </row>
    <row r="36" spans="1:19" x14ac:dyDescent="0.25">
      <c r="A36" s="177">
        <v>32</v>
      </c>
      <c r="B36" s="8" t="s">
        <v>103</v>
      </c>
      <c r="C36" s="238">
        <f>(C34*6)+(D34*6)</f>
        <v>75189.161999999997</v>
      </c>
      <c r="D36" s="239"/>
      <c r="I36" s="22"/>
      <c r="L36" s="23"/>
      <c r="Q36" s="31"/>
      <c r="R36" s="31"/>
      <c r="S36" s="31"/>
    </row>
    <row r="37" spans="1:19" x14ac:dyDescent="0.25">
      <c r="A37" s="177">
        <v>33</v>
      </c>
      <c r="B37" s="8" t="s">
        <v>111</v>
      </c>
      <c r="C37" s="238">
        <f>C35+D35</f>
        <v>245557.2</v>
      </c>
      <c r="D37" s="237"/>
      <c r="F37" s="223">
        <f>F34+H34</f>
        <v>24190</v>
      </c>
      <c r="G37" s="223"/>
      <c r="I37" s="22"/>
      <c r="J37" s="223">
        <f>J34+L34</f>
        <v>3634.2400000000007</v>
      </c>
      <c r="K37" s="223"/>
      <c r="L37" s="23"/>
      <c r="M37" s="223">
        <f>N34+P34</f>
        <v>4590</v>
      </c>
      <c r="N37" s="223"/>
      <c r="O37" s="223" t="e">
        <f>O34+#REF!</f>
        <v>#REF!</v>
      </c>
      <c r="P37" s="215"/>
      <c r="Q37" s="29">
        <f>Q33+R33</f>
        <v>2080</v>
      </c>
      <c r="R37" s="29">
        <f>SUM(R5:R32)</f>
        <v>6000</v>
      </c>
      <c r="S37" s="29">
        <f>SUM(S5:S31)</f>
        <v>7400</v>
      </c>
    </row>
    <row r="38" spans="1:19" x14ac:dyDescent="0.25">
      <c r="A38" s="177">
        <v>34</v>
      </c>
      <c r="B38" s="8" t="s">
        <v>96</v>
      </c>
      <c r="C38" s="223">
        <f>C36+C37+F37+J37+M37+Q37+R37+S37</f>
        <v>368640.60200000001</v>
      </c>
      <c r="D38" s="215"/>
    </row>
    <row r="39" spans="1:19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x14ac:dyDescent="0.25">
      <c r="A40" s="215" t="s">
        <v>225</v>
      </c>
      <c r="B40" s="215"/>
      <c r="C40" s="215"/>
      <c r="D40" s="215"/>
      <c r="E40" s="215"/>
      <c r="F40" s="215"/>
      <c r="G40" s="215"/>
      <c r="H40" s="215"/>
    </row>
    <row r="41" spans="1:19" x14ac:dyDescent="0.25">
      <c r="A41" s="1"/>
    </row>
    <row r="42" spans="1:19" x14ac:dyDescent="0.25">
      <c r="A42" s="1"/>
      <c r="B42" s="2" t="s">
        <v>83</v>
      </c>
      <c r="C42" s="1" t="s">
        <v>36</v>
      </c>
      <c r="D42" s="1" t="s">
        <v>37</v>
      </c>
      <c r="E42" s="1" t="s">
        <v>38</v>
      </c>
      <c r="F42" s="121" t="s">
        <v>226</v>
      </c>
      <c r="G42" s="215" t="s">
        <v>98</v>
      </c>
      <c r="H42" s="215"/>
    </row>
    <row r="43" spans="1:19" x14ac:dyDescent="0.25">
      <c r="A43" s="1">
        <v>35</v>
      </c>
      <c r="B43" t="s">
        <v>35</v>
      </c>
      <c r="C43" s="4">
        <f>((C5*6)*0.4)+((D5*6)*0.4)</f>
        <v>0</v>
      </c>
      <c r="D43" s="4">
        <f>((C5*6)*0.4)+((D5*6)*0.4)</f>
        <v>0</v>
      </c>
      <c r="E43" s="4">
        <f>((C5*6)*0.1)+((D5*6)*0.1)</f>
        <v>0</v>
      </c>
      <c r="F43" s="4">
        <f>E43</f>
        <v>0</v>
      </c>
      <c r="G43" s="223">
        <f>SUM(C43:F43)</f>
        <v>0</v>
      </c>
      <c r="H43" s="223"/>
    </row>
    <row r="44" spans="1:19" x14ac:dyDescent="0.25">
      <c r="A44" s="177">
        <v>36</v>
      </c>
      <c r="B44" t="s">
        <v>40</v>
      </c>
      <c r="C44" s="4">
        <f>((C6*6)*0.3)+((D6*6)*0.3)</f>
        <v>2948.3100000000004</v>
      </c>
      <c r="D44" s="4">
        <f>((C6*6)*0.3)+((D6*6)*0.3)</f>
        <v>2948.3100000000004</v>
      </c>
      <c r="E44" s="4">
        <f>((C6*6)*0.3)+((D6*6)*0.3)</f>
        <v>2948.3100000000004</v>
      </c>
      <c r="F44" s="4">
        <f>((C6*6)*0.1)+((D6*6)*0.1)</f>
        <v>982.77000000000021</v>
      </c>
      <c r="G44" s="223">
        <f t="shared" ref="G44:G45" si="20">SUM(C44:F44)</f>
        <v>9827.7000000000007</v>
      </c>
      <c r="H44" s="223"/>
    </row>
    <row r="45" spans="1:19" x14ac:dyDescent="0.25">
      <c r="A45" s="177">
        <v>37</v>
      </c>
      <c r="B45" t="s">
        <v>41</v>
      </c>
      <c r="C45" s="4">
        <f>((C7*6)*0.3)+((D7*6)*0.3)</f>
        <v>6365.25</v>
      </c>
      <c r="D45" s="4">
        <f>((C7*6)*0.3)+((D7*6)*0.3)</f>
        <v>6365.25</v>
      </c>
      <c r="E45" s="4">
        <f>((C7*6)*0.3)+((D7*6)*0.3)</f>
        <v>6365.25</v>
      </c>
      <c r="F45" s="4">
        <f>((C7*6)*0.1)+((D7*6)*0.1)</f>
        <v>2121.75</v>
      </c>
      <c r="G45" s="223">
        <f t="shared" si="20"/>
        <v>21217.5</v>
      </c>
      <c r="H45" s="223"/>
    </row>
    <row r="46" spans="1:19" x14ac:dyDescent="0.25">
      <c r="A46" s="177">
        <v>38</v>
      </c>
      <c r="C46" s="4"/>
      <c r="D46" s="4"/>
      <c r="E46" s="4"/>
      <c r="F46" s="4"/>
      <c r="G46" s="223"/>
      <c r="H46" s="223"/>
    </row>
    <row r="47" spans="1:19" x14ac:dyDescent="0.25">
      <c r="A47" s="177">
        <v>39</v>
      </c>
      <c r="B47" t="s">
        <v>42</v>
      </c>
      <c r="C47" s="4">
        <f>((C8*6)*0.15)+((D8*6)*0.15)</f>
        <v>0</v>
      </c>
      <c r="D47" s="4">
        <f>((C8*6)*0.15)+((D8*6)*0.15)</f>
        <v>0</v>
      </c>
      <c r="E47" s="4">
        <f>((C8*6)*0.5)+((D8*6)*0.5)</f>
        <v>0</v>
      </c>
      <c r="F47" s="4">
        <f>((C8*6)*0.2)+((D8*6)*0.2)</f>
        <v>0</v>
      </c>
      <c r="G47" s="223">
        <f t="shared" ref="G47:G50" si="21">SUM(C47:F47)</f>
        <v>0</v>
      </c>
      <c r="H47" s="223"/>
    </row>
    <row r="48" spans="1:19" x14ac:dyDescent="0.25">
      <c r="A48" s="177">
        <v>40</v>
      </c>
      <c r="B48" t="s">
        <v>43</v>
      </c>
      <c r="C48" s="4">
        <f>((C9*6)*0.5)+((D9*6)*0.5)</f>
        <v>4913.8500000000004</v>
      </c>
      <c r="D48" s="4">
        <f>((C9*6)*0.5)+((D9*6)*0.5)</f>
        <v>4913.8500000000004</v>
      </c>
      <c r="E48" s="4"/>
      <c r="F48" s="4"/>
      <c r="G48" s="223">
        <f t="shared" si="21"/>
        <v>9827.7000000000007</v>
      </c>
      <c r="H48" s="223"/>
    </row>
    <row r="49" spans="1:9" x14ac:dyDescent="0.25">
      <c r="A49" s="177">
        <v>41</v>
      </c>
      <c r="B49" t="s">
        <v>45</v>
      </c>
      <c r="C49" s="4">
        <f>((C10*6)*0.5)+((D10*6)*0.5)</f>
        <v>4913.8500000000004</v>
      </c>
      <c r="D49" s="4">
        <f>((C10*6)*0.5)+((D10*6)*0.5)</f>
        <v>4913.8500000000004</v>
      </c>
      <c r="E49" s="4"/>
      <c r="F49" s="4"/>
      <c r="G49" s="223">
        <f t="shared" si="21"/>
        <v>9827.7000000000007</v>
      </c>
      <c r="H49" s="223"/>
    </row>
    <row r="50" spans="1:9" x14ac:dyDescent="0.25">
      <c r="A50" s="177">
        <v>42</v>
      </c>
      <c r="B50" t="s">
        <v>45</v>
      </c>
      <c r="C50" s="4">
        <f>((C11*6)*0.5)+((D11*6)*0.5)</f>
        <v>4913.8500000000004</v>
      </c>
      <c r="D50" s="4">
        <f>((C11*6)*0.5)+((D11*6)*0.5)</f>
        <v>4913.8500000000004</v>
      </c>
      <c r="E50" s="4"/>
      <c r="F50" s="4"/>
      <c r="G50" s="223">
        <f t="shared" si="21"/>
        <v>9827.7000000000007</v>
      </c>
      <c r="H50" s="223"/>
    </row>
    <row r="51" spans="1:9" x14ac:dyDescent="0.25">
      <c r="A51" s="177">
        <v>43</v>
      </c>
      <c r="B51" t="s">
        <v>39</v>
      </c>
      <c r="C51" s="4"/>
      <c r="D51" s="4"/>
      <c r="E51" s="4"/>
      <c r="F51" s="4"/>
      <c r="G51" s="223">
        <f t="shared" ref="G51" si="22">SUM(C51:E51)</f>
        <v>0</v>
      </c>
      <c r="H51" s="223"/>
    </row>
    <row r="52" spans="1:9" x14ac:dyDescent="0.25">
      <c r="A52" s="177">
        <v>44</v>
      </c>
      <c r="B52" t="s">
        <v>218</v>
      </c>
      <c r="C52" s="4"/>
      <c r="D52" s="4"/>
      <c r="E52" s="4">
        <f>(C13*6)+(D13*6)</f>
        <v>27293.7</v>
      </c>
      <c r="F52" s="4"/>
      <c r="G52" s="223">
        <f t="shared" ref="G52:G62" si="23">SUM(C52:F52)</f>
        <v>27293.7</v>
      </c>
      <c r="H52" s="223"/>
    </row>
    <row r="53" spans="1:9" x14ac:dyDescent="0.25">
      <c r="A53" s="177">
        <v>45</v>
      </c>
      <c r="B53" t="s">
        <v>215</v>
      </c>
      <c r="C53" s="4"/>
      <c r="D53" s="4"/>
      <c r="E53" s="4">
        <f>(C14*6)+(D14*6)</f>
        <v>27293.7</v>
      </c>
      <c r="F53" s="4"/>
      <c r="G53" s="223">
        <f t="shared" si="23"/>
        <v>27293.7</v>
      </c>
      <c r="H53" s="223"/>
    </row>
    <row r="54" spans="1:9" x14ac:dyDescent="0.25">
      <c r="A54" s="177">
        <v>46</v>
      </c>
      <c r="B54" t="s">
        <v>215</v>
      </c>
      <c r="C54" s="4"/>
      <c r="D54" s="4"/>
      <c r="E54" s="4">
        <f>(C15*6)+(D15*6)</f>
        <v>21217.5</v>
      </c>
      <c r="F54" s="4"/>
      <c r="G54" s="223">
        <f t="shared" si="23"/>
        <v>21217.5</v>
      </c>
      <c r="H54" s="223"/>
    </row>
    <row r="55" spans="1:9" x14ac:dyDescent="0.25">
      <c r="A55" s="177">
        <v>47</v>
      </c>
      <c r="B55" t="s">
        <v>215</v>
      </c>
      <c r="C55" s="4"/>
      <c r="D55" s="4"/>
      <c r="E55" s="4">
        <f>(C16*6)+(D16*6)</f>
        <v>27293.7</v>
      </c>
      <c r="F55" s="4"/>
      <c r="G55" s="223">
        <f t="shared" ref="G55" si="24">SUM(C55:F55)</f>
        <v>27293.7</v>
      </c>
      <c r="H55" s="215"/>
    </row>
    <row r="56" spans="1:9" x14ac:dyDescent="0.25">
      <c r="A56" s="177">
        <v>48</v>
      </c>
      <c r="B56" t="s">
        <v>219</v>
      </c>
      <c r="C56" s="4"/>
      <c r="D56" s="4"/>
      <c r="E56" s="4"/>
      <c r="F56" s="4">
        <f>(C17*6)+(D17*6)</f>
        <v>27293.7</v>
      </c>
      <c r="G56" s="223">
        <f t="shared" si="23"/>
        <v>27293.7</v>
      </c>
      <c r="H56" s="223"/>
    </row>
    <row r="57" spans="1:9" x14ac:dyDescent="0.25">
      <c r="A57" s="177">
        <v>49</v>
      </c>
      <c r="B57" t="s">
        <v>216</v>
      </c>
      <c r="C57" s="4"/>
      <c r="D57" s="4"/>
      <c r="E57" s="4"/>
      <c r="F57" s="4">
        <f>(D18*6)+(C18*6)</f>
        <v>27342.9</v>
      </c>
      <c r="G57" s="223">
        <f t="shared" si="23"/>
        <v>27342.9</v>
      </c>
      <c r="H57" s="223"/>
    </row>
    <row r="58" spans="1:9" x14ac:dyDescent="0.25">
      <c r="A58" s="177">
        <v>50</v>
      </c>
      <c r="B58" t="s">
        <v>216</v>
      </c>
      <c r="C58" s="4"/>
      <c r="D58" s="4"/>
      <c r="E58" s="4"/>
      <c r="F58" s="4">
        <f>(C19*6)+(D19*6)</f>
        <v>27293.7</v>
      </c>
      <c r="G58" s="223">
        <f t="shared" si="23"/>
        <v>27293.7</v>
      </c>
      <c r="H58" s="223"/>
    </row>
    <row r="59" spans="1:9" x14ac:dyDescent="0.25">
      <c r="A59" s="177">
        <v>51</v>
      </c>
      <c r="B59" t="s">
        <v>220</v>
      </c>
      <c r="C59" s="4"/>
      <c r="D59" s="4"/>
      <c r="E59" s="4"/>
      <c r="F59" s="4">
        <f>(C20*6)+(D20*6)</f>
        <v>0</v>
      </c>
      <c r="G59" s="223">
        <f t="shared" si="23"/>
        <v>0</v>
      </c>
      <c r="H59" s="223"/>
    </row>
    <row r="60" spans="1:9" x14ac:dyDescent="0.25">
      <c r="A60" s="177">
        <v>52</v>
      </c>
      <c r="B60" t="s">
        <v>221</v>
      </c>
      <c r="C60" s="4">
        <f>((C21*6)*0.5)+((D21*6)*0.5)</f>
        <v>0</v>
      </c>
      <c r="D60" s="4">
        <f>((C21*6)*0.5)+((D21*6)*0.5)</f>
        <v>0</v>
      </c>
      <c r="E60" s="4"/>
      <c r="F60" s="4"/>
      <c r="G60" s="223">
        <f t="shared" si="23"/>
        <v>0</v>
      </c>
      <c r="H60" s="223"/>
      <c r="I60" t="s">
        <v>253</v>
      </c>
    </row>
    <row r="61" spans="1:9" x14ac:dyDescent="0.25">
      <c r="A61" s="177">
        <v>53</v>
      </c>
      <c r="B61" t="s">
        <v>222</v>
      </c>
      <c r="C61" s="4">
        <f t="shared" ref="C61" si="25">((C22*6)*0.5)+((D22*6)*0.5)</f>
        <v>2348.931</v>
      </c>
      <c r="D61" s="4">
        <f>((C22*6)*0.5)+((D22*6)*0.5)</f>
        <v>2348.931</v>
      </c>
      <c r="E61" s="4"/>
      <c r="F61" s="4"/>
      <c r="G61" s="223">
        <f t="shared" si="23"/>
        <v>4697.8620000000001</v>
      </c>
      <c r="H61" s="223"/>
      <c r="I61" t="s">
        <v>252</v>
      </c>
    </row>
    <row r="62" spans="1:9" x14ac:dyDescent="0.25">
      <c r="A62" s="177">
        <v>54</v>
      </c>
      <c r="B62" t="s">
        <v>223</v>
      </c>
      <c r="C62" s="4"/>
      <c r="D62" s="4"/>
      <c r="E62" s="4">
        <f>(C23*12)</f>
        <v>22788</v>
      </c>
      <c r="F62" s="4"/>
      <c r="G62" s="223">
        <f t="shared" si="23"/>
        <v>22788</v>
      </c>
      <c r="H62" s="223"/>
      <c r="I62" t="s">
        <v>254</v>
      </c>
    </row>
    <row r="63" spans="1:9" x14ac:dyDescent="0.25">
      <c r="A63" s="177">
        <v>55</v>
      </c>
      <c r="B63" t="s">
        <v>243</v>
      </c>
      <c r="C63" s="4">
        <f>((C24*6)*0.5)+((D24*6)*0.5)</f>
        <v>10608.75</v>
      </c>
      <c r="D63" s="4">
        <f t="shared" ref="D63" si="26">((C24*6)*0.5)+((D24*6)*0.5)</f>
        <v>10608.75</v>
      </c>
      <c r="E63" s="4"/>
      <c r="F63" s="4"/>
      <c r="G63" s="223">
        <f t="shared" ref="G63" si="27">SUM(C63:F63)</f>
        <v>21217.5</v>
      </c>
      <c r="H63" s="223"/>
      <c r="I63" t="s">
        <v>255</v>
      </c>
    </row>
    <row r="64" spans="1:9" x14ac:dyDescent="0.25">
      <c r="A64" s="177">
        <v>56</v>
      </c>
      <c r="B64" t="s">
        <v>248</v>
      </c>
      <c r="C64" s="4"/>
      <c r="D64" s="4"/>
      <c r="E64" s="4">
        <f>(C25*12)</f>
        <v>9588</v>
      </c>
      <c r="F64" s="4"/>
      <c r="G64" s="223">
        <f t="shared" ref="G64:G65" si="28">SUM(C64:F64)</f>
        <v>9588</v>
      </c>
      <c r="H64" s="223"/>
      <c r="I64" t="s">
        <v>256</v>
      </c>
    </row>
    <row r="65" spans="1:12" x14ac:dyDescent="0.25">
      <c r="A65" s="177">
        <v>57</v>
      </c>
      <c r="B65" t="s">
        <v>249</v>
      </c>
      <c r="C65" s="4"/>
      <c r="D65" s="4"/>
      <c r="E65" s="4"/>
      <c r="F65" s="4">
        <f>(D26*12)</f>
        <v>16480.800000000003</v>
      </c>
      <c r="G65" s="223">
        <f t="shared" si="28"/>
        <v>16480.800000000003</v>
      </c>
      <c r="H65" s="223"/>
      <c r="I65" t="s">
        <v>257</v>
      </c>
    </row>
    <row r="66" spans="1:12" x14ac:dyDescent="0.25">
      <c r="A66" s="177">
        <v>58</v>
      </c>
      <c r="B66" t="s">
        <v>91</v>
      </c>
      <c r="C66" s="4"/>
      <c r="D66" s="4"/>
      <c r="E66" s="4"/>
      <c r="F66" s="4"/>
      <c r="G66" s="4"/>
      <c r="H66" s="4"/>
    </row>
    <row r="67" spans="1:12" x14ac:dyDescent="0.25">
      <c r="A67" s="177">
        <v>59</v>
      </c>
      <c r="B67" t="s">
        <v>92</v>
      </c>
      <c r="C67" s="4"/>
      <c r="D67" s="4"/>
      <c r="E67" s="4"/>
      <c r="F67" s="4"/>
      <c r="G67" s="4"/>
      <c r="H67" s="4"/>
    </row>
    <row r="68" spans="1:12" x14ac:dyDescent="0.25">
      <c r="A68" s="177">
        <v>60</v>
      </c>
      <c r="B68" t="s">
        <v>93</v>
      </c>
      <c r="C68" s="4"/>
      <c r="D68" s="4"/>
      <c r="E68" s="4"/>
      <c r="F68" s="4"/>
      <c r="G68" s="4"/>
      <c r="H68" s="4"/>
    </row>
    <row r="69" spans="1:12" x14ac:dyDescent="0.25">
      <c r="A69" s="177">
        <v>61</v>
      </c>
      <c r="B69" t="s">
        <v>94</v>
      </c>
      <c r="C69" s="4"/>
      <c r="D69" s="4"/>
      <c r="E69" s="4"/>
      <c r="F69" s="4"/>
      <c r="G69" s="4"/>
      <c r="H69" s="4"/>
      <c r="J69" s="215" t="s">
        <v>98</v>
      </c>
      <c r="K69" s="215"/>
      <c r="L69" s="215"/>
    </row>
    <row r="70" spans="1:12" x14ac:dyDescent="0.25">
      <c r="A70" s="177">
        <v>62</v>
      </c>
      <c r="B70" t="s">
        <v>95</v>
      </c>
      <c r="C70" s="4"/>
      <c r="D70" s="4"/>
      <c r="E70" s="4"/>
      <c r="F70" s="4"/>
      <c r="G70" s="4"/>
      <c r="H70" s="4"/>
      <c r="J70" t="s">
        <v>258</v>
      </c>
      <c r="L70" s="4">
        <f>C36</f>
        <v>75189.161999999997</v>
      </c>
    </row>
    <row r="71" spans="1:12" x14ac:dyDescent="0.25">
      <c r="A71" s="177">
        <v>63</v>
      </c>
      <c r="C71" s="4"/>
      <c r="D71" s="4"/>
      <c r="E71" s="4"/>
      <c r="F71" s="4"/>
      <c r="G71" s="4"/>
      <c r="H71" s="4"/>
      <c r="J71" t="s">
        <v>259</v>
      </c>
      <c r="L71" s="4">
        <f>C37</f>
        <v>245557.2</v>
      </c>
    </row>
    <row r="72" spans="1:12" x14ac:dyDescent="0.25">
      <c r="A72" s="177">
        <v>64</v>
      </c>
      <c r="B72" s="8" t="s">
        <v>105</v>
      </c>
      <c r="C72" s="5">
        <f>SUM(C43:C70)</f>
        <v>37012.790999999997</v>
      </c>
      <c r="D72" s="5">
        <f t="shared" ref="D72:E72" si="29">SUM(D43:D70)</f>
        <v>37012.790999999997</v>
      </c>
      <c r="E72" s="5">
        <f t="shared" si="29"/>
        <v>144788.16</v>
      </c>
      <c r="F72" s="122">
        <f>SUM(F43:F70)</f>
        <v>101515.62000000001</v>
      </c>
      <c r="G72" s="223">
        <f>SUM(G43:H70)</f>
        <v>320329.36200000002</v>
      </c>
      <c r="H72" s="215"/>
      <c r="K72" t="s">
        <v>52</v>
      </c>
      <c r="L72" s="4">
        <f>SUM(L70:L71)</f>
        <v>320746.36200000002</v>
      </c>
    </row>
    <row r="73" spans="1:12" x14ac:dyDescent="0.25">
      <c r="A73" s="177">
        <v>65</v>
      </c>
      <c r="G73" s="223"/>
      <c r="H73" s="215"/>
    </row>
    <row r="74" spans="1:12" x14ac:dyDescent="0.25">
      <c r="A74" s="226"/>
      <c r="B74" s="226"/>
      <c r="C74" s="226"/>
      <c r="D74" s="226"/>
      <c r="E74" s="226"/>
      <c r="F74" s="226"/>
      <c r="G74" s="226"/>
      <c r="H74" s="226"/>
    </row>
    <row r="75" spans="1:12" x14ac:dyDescent="0.25">
      <c r="A75" s="1">
        <v>66</v>
      </c>
      <c r="B75" s="2" t="s">
        <v>84</v>
      </c>
      <c r="C75" s="1" t="s">
        <v>36</v>
      </c>
      <c r="D75" s="1" t="s">
        <v>37</v>
      </c>
      <c r="E75" s="1" t="s">
        <v>38</v>
      </c>
      <c r="F75" s="124" t="s">
        <v>226</v>
      </c>
      <c r="G75" s="215" t="s">
        <v>98</v>
      </c>
      <c r="H75" s="215"/>
    </row>
    <row r="76" spans="1:12" x14ac:dyDescent="0.25">
      <c r="A76" s="1">
        <v>67</v>
      </c>
      <c r="B76" t="s">
        <v>35</v>
      </c>
      <c r="C76" s="4">
        <f>((E5*6)*0.4)+((G5*6)*0.4)</f>
        <v>0</v>
      </c>
      <c r="D76" s="4">
        <f>((E5*6)*0.4)+((G5*6)*0.4)</f>
        <v>0</v>
      </c>
      <c r="E76" s="4">
        <f>((E5*6)*0.1)+((G5*6)*0.1)</f>
        <v>0</v>
      </c>
      <c r="F76" s="4">
        <f>((E5*6)*0.1)+((G5*6)*0.1)</f>
        <v>0</v>
      </c>
      <c r="G76" s="223">
        <f>SUM(C76:F76)</f>
        <v>0</v>
      </c>
      <c r="H76" s="223"/>
    </row>
    <row r="77" spans="1:12" x14ac:dyDescent="0.25">
      <c r="A77" s="32">
        <v>68</v>
      </c>
      <c r="B77" t="s">
        <v>40</v>
      </c>
      <c r="C77" s="4">
        <f>((E6*6)*0.3)+((G6*6)*0.3)</f>
        <v>246</v>
      </c>
      <c r="D77" s="4">
        <f>((E6*6)*0.3)+((G6*6)*0.3)</f>
        <v>246</v>
      </c>
      <c r="E77" s="4">
        <f>((E6*6)*0.3)+((G6*6)*0.3)</f>
        <v>246</v>
      </c>
      <c r="F77" s="4">
        <f>((E6*6)*0.1)+((G6*6)*0.1)</f>
        <v>82</v>
      </c>
      <c r="G77" s="223">
        <f t="shared" ref="G77" si="30">SUM(C77:F77)</f>
        <v>820</v>
      </c>
      <c r="H77" s="223"/>
    </row>
    <row r="78" spans="1:12" x14ac:dyDescent="0.25">
      <c r="A78" s="137">
        <v>69</v>
      </c>
      <c r="B78" t="s">
        <v>41</v>
      </c>
      <c r="C78" s="4">
        <f>((E7*6)*0.3)+((G7*6)*0.3)</f>
        <v>861</v>
      </c>
      <c r="D78" s="4">
        <f>((E7*6)*0.3)+((G7*6)*0.3)</f>
        <v>861</v>
      </c>
      <c r="E78" s="4">
        <f>((E7*6)*0.1)+((G7*6)*0.1)</f>
        <v>287</v>
      </c>
      <c r="F78" s="4">
        <f>((E7*6)*0.3)+((G7*6)*0.3)</f>
        <v>861</v>
      </c>
      <c r="G78" s="223">
        <f t="shared" ref="G78" si="31">SUM(C78:F78)</f>
        <v>2870</v>
      </c>
      <c r="H78" s="223"/>
    </row>
    <row r="79" spans="1:12" x14ac:dyDescent="0.25">
      <c r="A79" s="137">
        <v>70</v>
      </c>
      <c r="C79" s="4"/>
      <c r="D79" s="4"/>
      <c r="E79" s="4"/>
      <c r="F79" s="4"/>
      <c r="G79" s="223"/>
      <c r="H79" s="223"/>
    </row>
    <row r="80" spans="1:12" x14ac:dyDescent="0.25">
      <c r="A80" s="32">
        <v>71</v>
      </c>
      <c r="B80" t="s">
        <v>42</v>
      </c>
      <c r="C80" s="4">
        <f>((E8*6)*0.15)+((G8*6)*0.15)</f>
        <v>0</v>
      </c>
      <c r="D80" s="4">
        <f>((E8*6)*0.15)+((G8*6)*0.15)</f>
        <v>0</v>
      </c>
      <c r="E80" s="4">
        <f>((E8*6)*0.5)+((G8*6)*0.5)</f>
        <v>0</v>
      </c>
      <c r="F80" s="4">
        <f>((E8*6)*0.2)+((G8*6)*0.2)</f>
        <v>0</v>
      </c>
      <c r="G80" s="223">
        <f>SUM(C80:F80)</f>
        <v>0</v>
      </c>
      <c r="H80" s="223"/>
    </row>
    <row r="81" spans="1:8" x14ac:dyDescent="0.25">
      <c r="A81" s="137">
        <v>72</v>
      </c>
      <c r="B81" t="s">
        <v>43</v>
      </c>
      <c r="C81" s="4">
        <f>((E9*6)*0.5)+((G9*6)*0.5)</f>
        <v>410</v>
      </c>
      <c r="D81" s="4">
        <f>((E9*6)*0.5)+((G9*6)*0.5)</f>
        <v>410</v>
      </c>
      <c r="E81" s="4"/>
      <c r="F81" s="4"/>
      <c r="G81" s="223">
        <f t="shared" ref="G81:G83" si="32">SUM(C81:E81)</f>
        <v>820</v>
      </c>
      <c r="H81" s="223"/>
    </row>
    <row r="82" spans="1:8" x14ac:dyDescent="0.25">
      <c r="A82" s="137">
        <v>73</v>
      </c>
      <c r="B82" t="s">
        <v>45</v>
      </c>
      <c r="C82" s="4">
        <f>((E10*6)*0.5)+((G10*6)*0.5)</f>
        <v>410</v>
      </c>
      <c r="D82" s="4">
        <f>((E10*6)*0.5)+((G10*6)*0.5)</f>
        <v>410</v>
      </c>
      <c r="E82" s="4"/>
      <c r="F82" s="4"/>
      <c r="G82" s="223">
        <f t="shared" si="32"/>
        <v>820</v>
      </c>
      <c r="H82" s="223"/>
    </row>
    <row r="83" spans="1:8" x14ac:dyDescent="0.25">
      <c r="A83" s="32">
        <v>74</v>
      </c>
      <c r="B83" t="s">
        <v>45</v>
      </c>
      <c r="C83" s="4">
        <f>((E11*6)*0.5)+((G11*6)*0.5)</f>
        <v>410</v>
      </c>
      <c r="D83" s="4">
        <f>((E11*6)*0.5)+((G11*6)*0.5)</f>
        <v>410</v>
      </c>
      <c r="E83" s="4"/>
      <c r="F83" s="4"/>
      <c r="G83" s="223">
        <f t="shared" si="32"/>
        <v>820</v>
      </c>
      <c r="H83" s="223"/>
    </row>
    <row r="84" spans="1:8" x14ac:dyDescent="0.25">
      <c r="A84" s="137">
        <v>75</v>
      </c>
      <c r="B84" t="s">
        <v>39</v>
      </c>
      <c r="C84" s="4"/>
      <c r="D84" s="4"/>
      <c r="E84" s="4"/>
      <c r="F84" s="4"/>
      <c r="G84" s="223"/>
      <c r="H84" s="223"/>
    </row>
    <row r="85" spans="1:8" x14ac:dyDescent="0.25">
      <c r="A85" s="137">
        <v>76</v>
      </c>
      <c r="B85" t="s">
        <v>218</v>
      </c>
      <c r="C85" s="4"/>
      <c r="D85" s="4"/>
      <c r="E85" s="4">
        <f>(E13*6)+(G13*6)</f>
        <v>2870</v>
      </c>
      <c r="F85" s="4"/>
      <c r="G85" s="223">
        <f t="shared" ref="G85:G95" si="33">SUM(C85:E85)</f>
        <v>2870</v>
      </c>
      <c r="H85" s="223"/>
    </row>
    <row r="86" spans="1:8" x14ac:dyDescent="0.25">
      <c r="A86" s="32">
        <v>77</v>
      </c>
      <c r="B86" t="s">
        <v>215</v>
      </c>
      <c r="C86" s="4"/>
      <c r="D86" s="4"/>
      <c r="E86" s="4">
        <f>(E14*6)+(G14*6)</f>
        <v>2870</v>
      </c>
      <c r="F86" s="4"/>
      <c r="G86" s="223">
        <f t="shared" si="33"/>
        <v>2870</v>
      </c>
      <c r="H86" s="223"/>
    </row>
    <row r="87" spans="1:8" x14ac:dyDescent="0.25">
      <c r="A87" s="137">
        <v>78</v>
      </c>
      <c r="B87" t="s">
        <v>215</v>
      </c>
      <c r="C87" s="4"/>
      <c r="D87" s="4"/>
      <c r="E87" s="4">
        <f>(E15*6)+(G15*6)</f>
        <v>820</v>
      </c>
      <c r="F87" s="4"/>
      <c r="G87" s="223">
        <f t="shared" ref="G87" si="34">SUM(C87:E87)</f>
        <v>820</v>
      </c>
      <c r="H87" s="223"/>
    </row>
    <row r="88" spans="1:8" x14ac:dyDescent="0.25">
      <c r="A88" s="32">
        <v>79</v>
      </c>
      <c r="B88" t="s">
        <v>215</v>
      </c>
      <c r="C88" s="4"/>
      <c r="D88" s="4"/>
      <c r="E88" s="4">
        <f>(E16*6)+(G16*6)</f>
        <v>2870</v>
      </c>
      <c r="F88" s="4"/>
      <c r="G88" s="223">
        <f t="shared" ref="G88" si="35">SUM(C88:E88)</f>
        <v>2870</v>
      </c>
      <c r="H88" s="215"/>
    </row>
    <row r="89" spans="1:8" x14ac:dyDescent="0.25">
      <c r="A89" s="177">
        <v>80</v>
      </c>
      <c r="B89" t="s">
        <v>219</v>
      </c>
      <c r="C89" s="4"/>
      <c r="D89" s="4"/>
      <c r="E89" s="4"/>
      <c r="F89" s="4">
        <f>(E17*6)+(G17*6)</f>
        <v>2870</v>
      </c>
      <c r="G89" s="223">
        <f>SUM(C89:F89)</f>
        <v>2870</v>
      </c>
      <c r="H89" s="223"/>
    </row>
    <row r="90" spans="1:8" x14ac:dyDescent="0.25">
      <c r="A90" s="32">
        <v>81</v>
      </c>
      <c r="B90" t="s">
        <v>216</v>
      </c>
      <c r="C90" s="4"/>
      <c r="D90" s="4"/>
      <c r="E90" s="4"/>
      <c r="F90" s="4">
        <f>(E18*6)+(G18*6)</f>
        <v>2870</v>
      </c>
      <c r="G90" s="223">
        <f t="shared" ref="G90:G92" si="36">SUM(C90:F90)</f>
        <v>2870</v>
      </c>
      <c r="H90" s="223"/>
    </row>
    <row r="91" spans="1:8" x14ac:dyDescent="0.25">
      <c r="A91" s="177">
        <v>82</v>
      </c>
      <c r="B91" t="s">
        <v>216</v>
      </c>
      <c r="C91" s="4"/>
      <c r="D91" s="4"/>
      <c r="E91" s="4"/>
      <c r="F91" s="4">
        <f>(E19*6)+(G19*6)</f>
        <v>2870</v>
      </c>
      <c r="G91" s="223">
        <f t="shared" si="36"/>
        <v>2870</v>
      </c>
      <c r="H91" s="223"/>
    </row>
    <row r="92" spans="1:8" x14ac:dyDescent="0.25">
      <c r="A92" s="32">
        <v>83</v>
      </c>
      <c r="B92" t="s">
        <v>220</v>
      </c>
      <c r="C92" s="4"/>
      <c r="D92" s="4"/>
      <c r="E92" s="4"/>
      <c r="F92" s="4">
        <f>(E20*6)+(G20*6)</f>
        <v>0</v>
      </c>
      <c r="G92" s="223">
        <f t="shared" si="36"/>
        <v>0</v>
      </c>
      <c r="H92" s="223"/>
    </row>
    <row r="93" spans="1:8" x14ac:dyDescent="0.25">
      <c r="A93" s="177">
        <v>84</v>
      </c>
      <c r="B93" t="s">
        <v>80</v>
      </c>
      <c r="C93" s="4"/>
      <c r="D93" s="4"/>
      <c r="E93" s="4"/>
      <c r="F93" s="4"/>
      <c r="G93" s="223">
        <f t="shared" si="33"/>
        <v>0</v>
      </c>
      <c r="H93" s="223"/>
    </row>
    <row r="94" spans="1:8" x14ac:dyDescent="0.25">
      <c r="A94" s="32">
        <v>85</v>
      </c>
      <c r="B94" t="s">
        <v>81</v>
      </c>
      <c r="C94" s="4"/>
      <c r="D94" s="4"/>
      <c r="E94" s="4"/>
      <c r="F94" s="4"/>
      <c r="G94" s="223">
        <f t="shared" si="33"/>
        <v>0</v>
      </c>
      <c r="H94" s="223"/>
    </row>
    <row r="95" spans="1:8" x14ac:dyDescent="0.25">
      <c r="A95" s="177">
        <v>86</v>
      </c>
      <c r="B95" t="s">
        <v>82</v>
      </c>
      <c r="C95" s="4"/>
      <c r="D95" s="4"/>
      <c r="E95" s="4"/>
      <c r="F95" s="4"/>
      <c r="G95" s="223">
        <f t="shared" si="33"/>
        <v>0</v>
      </c>
      <c r="H95" s="223"/>
    </row>
    <row r="96" spans="1:8" x14ac:dyDescent="0.25">
      <c r="A96" s="32">
        <v>87</v>
      </c>
      <c r="B96" t="s">
        <v>91</v>
      </c>
      <c r="C96" s="4"/>
      <c r="D96" s="4"/>
      <c r="E96" s="4"/>
      <c r="F96" s="4"/>
      <c r="G96" s="4"/>
      <c r="H96" s="4"/>
    </row>
    <row r="97" spans="1:8" x14ac:dyDescent="0.25">
      <c r="A97" s="177">
        <v>88</v>
      </c>
      <c r="B97" t="s">
        <v>92</v>
      </c>
      <c r="C97" s="4"/>
      <c r="D97" s="4"/>
      <c r="E97" s="4"/>
      <c r="F97" s="4"/>
      <c r="G97" s="4"/>
      <c r="H97" s="4"/>
    </row>
    <row r="98" spans="1:8" x14ac:dyDescent="0.25">
      <c r="A98" s="32">
        <v>89</v>
      </c>
      <c r="B98" t="s">
        <v>93</v>
      </c>
      <c r="C98" s="4"/>
      <c r="D98" s="4"/>
      <c r="E98" s="4"/>
      <c r="F98" s="4"/>
      <c r="G98" s="4"/>
      <c r="H98" s="4"/>
    </row>
    <row r="99" spans="1:8" x14ac:dyDescent="0.25">
      <c r="A99" s="177">
        <v>90</v>
      </c>
      <c r="B99" t="s">
        <v>94</v>
      </c>
      <c r="C99" s="4"/>
      <c r="D99" s="4"/>
      <c r="E99" s="4"/>
      <c r="F99" s="4"/>
      <c r="G99" s="4"/>
      <c r="H99" s="4"/>
    </row>
    <row r="100" spans="1:8" x14ac:dyDescent="0.25">
      <c r="A100" s="32">
        <v>91</v>
      </c>
      <c r="B100" t="s">
        <v>95</v>
      </c>
      <c r="C100" s="4"/>
      <c r="D100" s="4"/>
      <c r="E100" s="4"/>
      <c r="F100" s="4"/>
      <c r="G100" s="4"/>
      <c r="H100" s="4"/>
    </row>
    <row r="101" spans="1:8" x14ac:dyDescent="0.25">
      <c r="A101" s="177">
        <v>92</v>
      </c>
      <c r="C101" s="4"/>
      <c r="D101" s="4"/>
      <c r="E101" s="4"/>
      <c r="F101" s="4"/>
      <c r="G101" s="215" t="s">
        <v>100</v>
      </c>
      <c r="H101" s="215"/>
    </row>
    <row r="102" spans="1:8" x14ac:dyDescent="0.25">
      <c r="A102" s="32">
        <v>93</v>
      </c>
      <c r="B102" s="8" t="s">
        <v>90</v>
      </c>
      <c r="C102" s="5">
        <f>SUM(C76:C100)</f>
        <v>2337</v>
      </c>
      <c r="D102" s="5">
        <f t="shared" ref="D102:F102" si="37">SUM(D76:D100)</f>
        <v>2337</v>
      </c>
      <c r="E102" s="5">
        <f t="shared" si="37"/>
        <v>9963</v>
      </c>
      <c r="F102" s="122">
        <f t="shared" si="37"/>
        <v>9553</v>
      </c>
      <c r="G102" s="223">
        <f>SUM(G76:H100)</f>
        <v>24190</v>
      </c>
      <c r="H102" s="215"/>
    </row>
    <row r="103" spans="1:8" x14ac:dyDescent="0.25">
      <c r="A103" s="177">
        <v>94</v>
      </c>
      <c r="G103" s="223"/>
      <c r="H103" s="215"/>
    </row>
    <row r="104" spans="1:8" x14ac:dyDescent="0.25">
      <c r="A104" s="226"/>
      <c r="B104" s="226"/>
      <c r="C104" s="226"/>
      <c r="D104" s="226"/>
      <c r="E104" s="226"/>
      <c r="F104" s="226"/>
      <c r="G104" s="226"/>
      <c r="H104" s="226"/>
    </row>
    <row r="105" spans="1:8" x14ac:dyDescent="0.25">
      <c r="A105" s="1"/>
      <c r="B105" s="2" t="s">
        <v>87</v>
      </c>
      <c r="C105" s="1" t="s">
        <v>36</v>
      </c>
      <c r="D105" s="1" t="s">
        <v>37</v>
      </c>
      <c r="E105" s="1" t="s">
        <v>38</v>
      </c>
      <c r="F105" s="124" t="s">
        <v>226</v>
      </c>
      <c r="G105" s="215" t="s">
        <v>98</v>
      </c>
      <c r="H105" s="215"/>
    </row>
    <row r="106" spans="1:8" x14ac:dyDescent="0.25">
      <c r="A106" s="1">
        <v>95</v>
      </c>
      <c r="B106" t="s">
        <v>35</v>
      </c>
      <c r="C106" s="4">
        <f>((I5*6)*0.4)+((K5*6)*0.4)</f>
        <v>0</v>
      </c>
      <c r="D106" s="4">
        <f>((I5*6)*0.4)+((K5*6)*0.4)</f>
        <v>0</v>
      </c>
      <c r="E106" s="4">
        <f>((I5*6)*0.1)+((K5*6)*0.1)</f>
        <v>0</v>
      </c>
      <c r="F106" s="4">
        <f>((I5*6)*0.1)+((K5*6)*0.1)</f>
        <v>0</v>
      </c>
      <c r="G106" s="223">
        <f>SUM(C106:F106)</f>
        <v>0</v>
      </c>
      <c r="H106" s="223"/>
    </row>
    <row r="107" spans="1:8" x14ac:dyDescent="0.25">
      <c r="A107" s="1">
        <v>96</v>
      </c>
      <c r="B107" t="s">
        <v>40</v>
      </c>
      <c r="C107" s="4">
        <f>((I6*6)*0.3)+((K6*6)*0.3)</f>
        <v>61.746000000000009</v>
      </c>
      <c r="D107" s="4">
        <f>((I6*6)*0.3)+((K6*6)*0.3)</f>
        <v>61.746000000000009</v>
      </c>
      <c r="E107" s="4">
        <f>((I6*6)*0.3)+((K6*6)*0.3)</f>
        <v>61.746000000000009</v>
      </c>
      <c r="F107" s="4">
        <f>((I6*6)*0.1)+((K6*6)*0.1)</f>
        <v>20.582000000000001</v>
      </c>
      <c r="G107" s="223">
        <f>SUM(C107:F107)</f>
        <v>205.82000000000002</v>
      </c>
      <c r="H107" s="223"/>
    </row>
    <row r="108" spans="1:8" x14ac:dyDescent="0.25">
      <c r="A108" s="137">
        <v>97</v>
      </c>
      <c r="B108" t="s">
        <v>41</v>
      </c>
      <c r="C108" s="4">
        <f>((I7*6)*0.3)+((K7*6)*0.3)</f>
        <v>105.411</v>
      </c>
      <c r="D108" s="4">
        <f>((I7*6)*0.3)+((K7*6)*0.3)</f>
        <v>105.411</v>
      </c>
      <c r="E108" s="4">
        <f>((I7*6)*0.1)+((K7*6)*0.1)</f>
        <v>35.137</v>
      </c>
      <c r="F108" s="4">
        <f>((I7*6)*0.3)+((K7*6)*0.3)</f>
        <v>105.411</v>
      </c>
      <c r="G108" s="223">
        <f>SUM(C108:F108)</f>
        <v>351.37</v>
      </c>
      <c r="H108" s="223"/>
    </row>
    <row r="109" spans="1:8" x14ac:dyDescent="0.25">
      <c r="A109" s="137">
        <v>98</v>
      </c>
      <c r="C109" s="4"/>
      <c r="D109" s="4"/>
      <c r="E109" s="4"/>
      <c r="F109" s="4"/>
      <c r="G109" s="223"/>
      <c r="H109" s="223"/>
    </row>
    <row r="110" spans="1:8" x14ac:dyDescent="0.25">
      <c r="A110" s="137">
        <v>99</v>
      </c>
      <c r="C110" s="4">
        <f>((I8*6)*0.15)+((K8*6)*0.15)</f>
        <v>0</v>
      </c>
      <c r="D110" s="4">
        <f>((I8*6)*0.15)+((K8*6)*0.15)</f>
        <v>0</v>
      </c>
      <c r="E110" s="4">
        <f>((I8*6)*0.7)+((K8*6)*0.7)</f>
        <v>0</v>
      </c>
      <c r="F110" s="4"/>
      <c r="G110" s="223">
        <f t="shared" ref="G110:G113" si="38">SUM(C110:E110)</f>
        <v>0</v>
      </c>
      <c r="H110" s="223"/>
    </row>
    <row r="111" spans="1:8" x14ac:dyDescent="0.25">
      <c r="A111" s="137">
        <v>100</v>
      </c>
      <c r="B111" t="s">
        <v>43</v>
      </c>
      <c r="C111" s="4">
        <f>((I9*6)*0.5)+((K9*6)*0.5)</f>
        <v>102.91000000000001</v>
      </c>
      <c r="D111" s="4">
        <f>((I9*6)*0.5)+((K9*6)*0.5)</f>
        <v>102.91000000000001</v>
      </c>
      <c r="E111" s="4"/>
      <c r="F111" s="4"/>
      <c r="G111" s="223">
        <f t="shared" si="38"/>
        <v>205.82000000000002</v>
      </c>
      <c r="H111" s="223"/>
    </row>
    <row r="112" spans="1:8" x14ac:dyDescent="0.25">
      <c r="A112" s="137">
        <v>101</v>
      </c>
      <c r="B112" t="s">
        <v>45</v>
      </c>
      <c r="C112" s="4">
        <f>((I10*6)*0.5)+((K10*6)*0.5)</f>
        <v>102.91000000000001</v>
      </c>
      <c r="D112" s="4">
        <f>((I10*6)*0.5)+((K10*6)*0.5)</f>
        <v>102.91000000000001</v>
      </c>
      <c r="E112" s="4"/>
      <c r="F112" s="4"/>
      <c r="G112" s="223">
        <f t="shared" si="38"/>
        <v>205.82000000000002</v>
      </c>
      <c r="H112" s="223"/>
    </row>
    <row r="113" spans="1:8" x14ac:dyDescent="0.25">
      <c r="A113" s="137">
        <v>102</v>
      </c>
      <c r="B113" t="s">
        <v>45</v>
      </c>
      <c r="C113" s="4">
        <f>((I11*6)*0.5)+((K11*6)*0.5)</f>
        <v>102.91000000000001</v>
      </c>
      <c r="D113" s="4">
        <f>((I11*6)*0.5)+((K11*6)*0.5)</f>
        <v>102.91000000000001</v>
      </c>
      <c r="E113" s="4"/>
      <c r="F113" s="4"/>
      <c r="G113" s="223">
        <f t="shared" si="38"/>
        <v>205.82000000000002</v>
      </c>
      <c r="H113" s="223"/>
    </row>
    <row r="114" spans="1:8" x14ac:dyDescent="0.25">
      <c r="A114" s="137">
        <v>103</v>
      </c>
      <c r="B114" t="s">
        <v>39</v>
      </c>
      <c r="C114" s="4"/>
      <c r="D114" s="4"/>
      <c r="E114" s="4"/>
      <c r="F114" s="4"/>
      <c r="G114" s="223"/>
      <c r="H114" s="223"/>
    </row>
    <row r="115" spans="1:8" x14ac:dyDescent="0.25">
      <c r="A115" s="137">
        <v>104</v>
      </c>
      <c r="B115" t="s">
        <v>218</v>
      </c>
      <c r="C115" s="4"/>
      <c r="D115" s="4"/>
      <c r="E115" s="4">
        <f>(I13*6)+(K13*6)</f>
        <v>351.37</v>
      </c>
      <c r="F115" s="4"/>
      <c r="G115" s="223">
        <f t="shared" ref="G115:G125" si="39">SUM(C115:E115)</f>
        <v>351.37</v>
      </c>
      <c r="H115" s="223"/>
    </row>
    <row r="116" spans="1:8" x14ac:dyDescent="0.25">
      <c r="A116" s="137">
        <v>105</v>
      </c>
      <c r="B116" t="s">
        <v>215</v>
      </c>
      <c r="C116" s="4"/>
      <c r="D116" s="4"/>
      <c r="E116" s="4">
        <f>(I14*6)+(K14*6)</f>
        <v>351.37</v>
      </c>
      <c r="F116" s="4"/>
      <c r="G116" s="223">
        <f t="shared" si="39"/>
        <v>351.37</v>
      </c>
      <c r="H116" s="223"/>
    </row>
    <row r="117" spans="1:8" x14ac:dyDescent="0.25">
      <c r="A117" s="137">
        <v>106</v>
      </c>
      <c r="B117" t="s">
        <v>215</v>
      </c>
      <c r="C117" s="4"/>
      <c r="D117" s="4"/>
      <c r="E117" s="4">
        <f>(I15*6)+(K15*6)</f>
        <v>351.37</v>
      </c>
      <c r="F117" s="4"/>
      <c r="G117" s="223">
        <f t="shared" ref="G117" si="40">SUM(C117:E117)</f>
        <v>351.37</v>
      </c>
      <c r="H117" s="223"/>
    </row>
    <row r="118" spans="1:8" x14ac:dyDescent="0.25">
      <c r="A118" s="177">
        <v>107</v>
      </c>
      <c r="B118" t="s">
        <v>215</v>
      </c>
      <c r="C118" s="4"/>
      <c r="D118" s="4"/>
      <c r="E118" s="4">
        <f>(I16*6)+(K16*6)</f>
        <v>351.37</v>
      </c>
      <c r="F118" s="4"/>
      <c r="G118" s="223">
        <f t="shared" ref="G118" si="41">SUM(C118:E118)</f>
        <v>351.37</v>
      </c>
      <c r="H118" s="215"/>
    </row>
    <row r="119" spans="1:8" x14ac:dyDescent="0.25">
      <c r="A119" s="177">
        <v>108</v>
      </c>
      <c r="B119" t="s">
        <v>219</v>
      </c>
      <c r="C119" s="4"/>
      <c r="D119" s="4"/>
      <c r="E119" s="4"/>
      <c r="F119" s="4">
        <f>(I17*6)+(K17*6)</f>
        <v>351.37</v>
      </c>
      <c r="G119" s="223">
        <f>SUM(C119:F119)</f>
        <v>351.37</v>
      </c>
      <c r="H119" s="223"/>
    </row>
    <row r="120" spans="1:8" x14ac:dyDescent="0.25">
      <c r="A120" s="177">
        <v>109</v>
      </c>
      <c r="B120" t="s">
        <v>216</v>
      </c>
      <c r="C120" s="4"/>
      <c r="D120" s="4"/>
      <c r="E120" s="4"/>
      <c r="F120" s="4">
        <f>(I18*6)+(K18*6)</f>
        <v>351.37</v>
      </c>
      <c r="G120" s="223">
        <f t="shared" ref="G120:G122" si="42">SUM(C120:F120)</f>
        <v>351.37</v>
      </c>
      <c r="H120" s="223"/>
    </row>
    <row r="121" spans="1:8" x14ac:dyDescent="0.25">
      <c r="A121" s="177">
        <v>110</v>
      </c>
      <c r="B121" t="s">
        <v>216</v>
      </c>
      <c r="C121" s="4"/>
      <c r="D121" s="4"/>
      <c r="E121" s="4"/>
      <c r="F121" s="4">
        <f>(I19*6)+(K19*6)</f>
        <v>351.37</v>
      </c>
      <c r="G121" s="223">
        <f t="shared" si="42"/>
        <v>351.37</v>
      </c>
      <c r="H121" s="223"/>
    </row>
    <row r="122" spans="1:8" x14ac:dyDescent="0.25">
      <c r="A122" s="177">
        <v>111</v>
      </c>
      <c r="B122" t="s">
        <v>220</v>
      </c>
      <c r="C122" s="4"/>
      <c r="D122" s="4"/>
      <c r="E122" s="4"/>
      <c r="F122" s="4">
        <f>(I20*6)+(K20*6)</f>
        <v>0</v>
      </c>
      <c r="G122" s="223">
        <f t="shared" si="42"/>
        <v>0</v>
      </c>
      <c r="H122" s="223"/>
    </row>
    <row r="123" spans="1:8" x14ac:dyDescent="0.25">
      <c r="A123" s="177">
        <v>112</v>
      </c>
      <c r="B123" t="s">
        <v>80</v>
      </c>
      <c r="C123" s="4"/>
      <c r="D123" s="4"/>
      <c r="E123" s="4"/>
      <c r="F123" s="4"/>
      <c r="G123" s="223">
        <f t="shared" si="39"/>
        <v>0</v>
      </c>
      <c r="H123" s="223"/>
    </row>
    <row r="124" spans="1:8" x14ac:dyDescent="0.25">
      <c r="A124" s="177">
        <v>113</v>
      </c>
      <c r="B124" t="s">
        <v>81</v>
      </c>
      <c r="C124" s="4"/>
      <c r="D124" s="4"/>
      <c r="E124" s="4"/>
      <c r="F124" s="4"/>
      <c r="G124" s="223">
        <f t="shared" si="39"/>
        <v>0</v>
      </c>
      <c r="H124" s="223"/>
    </row>
    <row r="125" spans="1:8" x14ac:dyDescent="0.25">
      <c r="A125" s="177">
        <v>114</v>
      </c>
      <c r="B125" t="s">
        <v>82</v>
      </c>
      <c r="C125" s="4"/>
      <c r="D125" s="4"/>
      <c r="E125" s="4"/>
      <c r="F125" s="4"/>
      <c r="G125" s="223">
        <f t="shared" si="39"/>
        <v>0</v>
      </c>
      <c r="H125" s="223"/>
    </row>
    <row r="126" spans="1:8" x14ac:dyDescent="0.25">
      <c r="A126" s="177">
        <v>115</v>
      </c>
      <c r="B126" t="s">
        <v>91</v>
      </c>
      <c r="C126" s="4"/>
      <c r="D126" s="4"/>
      <c r="E126" s="4"/>
      <c r="F126" s="4"/>
      <c r="G126" s="4"/>
      <c r="H126" s="4"/>
    </row>
    <row r="127" spans="1:8" x14ac:dyDescent="0.25">
      <c r="A127" s="177">
        <v>116</v>
      </c>
      <c r="B127" t="s">
        <v>92</v>
      </c>
      <c r="C127" s="4"/>
      <c r="D127" s="4"/>
      <c r="E127" s="4"/>
      <c r="F127" s="4"/>
      <c r="G127" s="4"/>
      <c r="H127" s="4"/>
    </row>
    <row r="128" spans="1:8" x14ac:dyDescent="0.25">
      <c r="A128" s="177">
        <v>117</v>
      </c>
      <c r="B128" t="s">
        <v>93</v>
      </c>
      <c r="C128" s="4"/>
      <c r="D128" s="4"/>
      <c r="E128" s="4"/>
      <c r="F128" s="4"/>
      <c r="G128" s="4"/>
      <c r="H128" s="4"/>
    </row>
    <row r="129" spans="1:13" x14ac:dyDescent="0.25">
      <c r="A129" s="177">
        <v>118</v>
      </c>
      <c r="B129" t="s">
        <v>94</v>
      </c>
      <c r="C129" s="4"/>
      <c r="D129" s="4"/>
      <c r="E129" s="4"/>
      <c r="F129" s="4"/>
      <c r="G129" s="4"/>
      <c r="H129" s="4"/>
    </row>
    <row r="130" spans="1:13" x14ac:dyDescent="0.25">
      <c r="A130" s="177">
        <v>119</v>
      </c>
      <c r="B130" t="s">
        <v>95</v>
      </c>
      <c r="C130" s="4"/>
      <c r="D130" s="4"/>
      <c r="E130" s="4"/>
      <c r="F130" s="4"/>
      <c r="G130" s="4"/>
      <c r="H130" s="4"/>
    </row>
    <row r="131" spans="1:13" x14ac:dyDescent="0.25">
      <c r="A131" s="177">
        <v>120</v>
      </c>
      <c r="C131" s="4"/>
      <c r="D131" s="4"/>
      <c r="E131" s="4"/>
      <c r="F131" s="4"/>
      <c r="G131" s="4"/>
      <c r="H131" s="4"/>
    </row>
    <row r="132" spans="1:13" x14ac:dyDescent="0.25">
      <c r="A132" s="177">
        <v>121</v>
      </c>
      <c r="B132" s="8" t="s">
        <v>90</v>
      </c>
      <c r="C132" s="5">
        <f>SUM(C106:C130)</f>
        <v>475.88700000000006</v>
      </c>
      <c r="D132" s="5">
        <f t="shared" ref="D132" si="43">SUM(D106:D130)</f>
        <v>475.88700000000006</v>
      </c>
      <c r="E132" s="125">
        <f t="shared" ref="E132:F132" si="44">SUM(E105:E129)</f>
        <v>1502.3629999999998</v>
      </c>
      <c r="F132" s="125">
        <f t="shared" si="44"/>
        <v>1180.1030000000001</v>
      </c>
      <c r="G132" s="223">
        <f>SUM(G106:H130)</f>
        <v>3634.2399999999993</v>
      </c>
      <c r="H132" s="215"/>
    </row>
    <row r="133" spans="1:13" x14ac:dyDescent="0.25">
      <c r="A133" s="226"/>
      <c r="B133" s="226"/>
      <c r="C133" s="226"/>
      <c r="D133" s="226"/>
      <c r="E133" s="226"/>
      <c r="F133" s="226"/>
      <c r="G133" s="226"/>
      <c r="H133" s="226"/>
    </row>
    <row r="134" spans="1:13" x14ac:dyDescent="0.25">
      <c r="A134" s="1"/>
      <c r="B134" s="2" t="s">
        <v>89</v>
      </c>
      <c r="C134" s="1" t="s">
        <v>36</v>
      </c>
      <c r="D134" s="1" t="s">
        <v>37</v>
      </c>
      <c r="E134" s="1" t="s">
        <v>38</v>
      </c>
      <c r="F134" s="127" t="s">
        <v>226</v>
      </c>
      <c r="G134" s="215" t="s">
        <v>98</v>
      </c>
      <c r="H134" s="215"/>
      <c r="K134" s="215"/>
      <c r="L134" s="215"/>
      <c r="M134" s="215"/>
    </row>
    <row r="135" spans="1:13" x14ac:dyDescent="0.25">
      <c r="A135" s="1">
        <v>122</v>
      </c>
      <c r="B135" t="s">
        <v>35</v>
      </c>
      <c r="C135" s="4">
        <f>((M5*6)*0.4)+((O5*6)*0.4)</f>
        <v>0</v>
      </c>
      <c r="D135" s="4">
        <f>((M5*6)*0.4)+((O5*6)*0.4)</f>
        <v>0</v>
      </c>
      <c r="E135" s="4">
        <f>((M5*6)*0.1)+((O5*6)*0.1)</f>
        <v>0</v>
      </c>
      <c r="F135" s="4">
        <f>((M5*6)*0.1)+((O5*6)*0.1)</f>
        <v>0</v>
      </c>
      <c r="G135" s="223">
        <f>SUM(C135:F135)</f>
        <v>0</v>
      </c>
      <c r="H135" s="223"/>
    </row>
    <row r="136" spans="1:13" x14ac:dyDescent="0.25">
      <c r="A136" s="1">
        <v>123</v>
      </c>
      <c r="B136" t="s">
        <v>40</v>
      </c>
      <c r="C136" s="4">
        <f>(M6*0.3)</f>
        <v>162</v>
      </c>
      <c r="D136" s="4">
        <f>(M6*0.3)</f>
        <v>162</v>
      </c>
      <c r="E136" s="4">
        <f>(M6*0.3)</f>
        <v>162</v>
      </c>
      <c r="F136" s="4">
        <f>(M6*0.1)</f>
        <v>54</v>
      </c>
      <c r="G136" s="223">
        <f>SUM(C136:F136)</f>
        <v>540</v>
      </c>
      <c r="H136" s="223"/>
    </row>
    <row r="137" spans="1:13" x14ac:dyDescent="0.25">
      <c r="A137" s="137">
        <v>124</v>
      </c>
      <c r="B137" t="s">
        <v>41</v>
      </c>
      <c r="C137" s="4">
        <f>(M7*0.3)</f>
        <v>162</v>
      </c>
      <c r="D137" s="4">
        <f>(M7*0.3)</f>
        <v>162</v>
      </c>
      <c r="E137" s="4">
        <f>(M7*0.1)</f>
        <v>54</v>
      </c>
      <c r="F137" s="4">
        <f>(M7*0.3)</f>
        <v>162</v>
      </c>
      <c r="G137" s="223">
        <f>SUM(C137:F137)</f>
        <v>540</v>
      </c>
      <c r="H137" s="223"/>
    </row>
    <row r="138" spans="1:13" x14ac:dyDescent="0.25">
      <c r="A138" s="137">
        <v>125</v>
      </c>
      <c r="C138" s="4"/>
      <c r="D138" s="4"/>
      <c r="E138" s="4"/>
      <c r="F138" s="4"/>
      <c r="G138" s="223"/>
      <c r="H138" s="223"/>
    </row>
    <row r="139" spans="1:13" x14ac:dyDescent="0.25">
      <c r="A139" s="137">
        <v>126</v>
      </c>
      <c r="B139" t="s">
        <v>42</v>
      </c>
      <c r="C139" s="4">
        <f>((M8*6)*0.15)+((O8*6)*0.15)</f>
        <v>0</v>
      </c>
      <c r="D139" s="4">
        <f>((M8*6)*0.15)+((O8*6)*0.15)</f>
        <v>0</v>
      </c>
      <c r="E139" s="4">
        <f>((M8*6)*0.7)+((O8*6)*0.7)</f>
        <v>0</v>
      </c>
      <c r="F139" s="4"/>
      <c r="G139" s="223">
        <f t="shared" ref="G139:G142" si="45">SUM(C139:E139)</f>
        <v>0</v>
      </c>
      <c r="H139" s="223"/>
    </row>
    <row r="140" spans="1:13" x14ac:dyDescent="0.25">
      <c r="A140" s="137">
        <v>127</v>
      </c>
      <c r="B140" t="s">
        <v>43</v>
      </c>
      <c r="C140" s="4">
        <f>(M9/2)</f>
        <v>270</v>
      </c>
      <c r="D140" s="4">
        <f>(M9/2)</f>
        <v>270</v>
      </c>
      <c r="E140" s="4"/>
      <c r="F140" s="4"/>
      <c r="G140" s="223">
        <f t="shared" si="45"/>
        <v>540</v>
      </c>
      <c r="H140" s="223"/>
    </row>
    <row r="141" spans="1:13" x14ac:dyDescent="0.25">
      <c r="A141" s="137">
        <v>128</v>
      </c>
      <c r="B141" t="s">
        <v>45</v>
      </c>
      <c r="C141" s="4">
        <f>(M10/2)</f>
        <v>270</v>
      </c>
      <c r="D141" s="4">
        <f>(M10/2)</f>
        <v>270</v>
      </c>
      <c r="E141" s="4"/>
      <c r="F141" s="4"/>
      <c r="G141" s="223">
        <f t="shared" si="45"/>
        <v>540</v>
      </c>
      <c r="H141" s="223"/>
    </row>
    <row r="142" spans="1:13" x14ac:dyDescent="0.25">
      <c r="A142" s="137">
        <v>129</v>
      </c>
      <c r="B142" t="s">
        <v>45</v>
      </c>
      <c r="C142" s="4">
        <f>(M11/2)</f>
        <v>270</v>
      </c>
      <c r="D142" s="4">
        <f>(M11/2)</f>
        <v>270</v>
      </c>
      <c r="E142" s="4"/>
      <c r="F142" s="4"/>
      <c r="G142" s="223">
        <f t="shared" si="45"/>
        <v>540</v>
      </c>
      <c r="H142" s="223"/>
    </row>
    <row r="143" spans="1:13" x14ac:dyDescent="0.25">
      <c r="A143" s="137">
        <v>130</v>
      </c>
      <c r="B143" t="s">
        <v>39</v>
      </c>
      <c r="C143" s="4"/>
      <c r="D143" s="4"/>
      <c r="E143" s="4"/>
      <c r="F143" s="4"/>
      <c r="G143" s="223"/>
      <c r="H143" s="223"/>
    </row>
    <row r="144" spans="1:13" x14ac:dyDescent="0.25">
      <c r="A144" s="137">
        <v>131</v>
      </c>
      <c r="B144" t="s">
        <v>218</v>
      </c>
      <c r="C144" s="4"/>
      <c r="D144" s="4"/>
      <c r="E144" s="4">
        <f>M13</f>
        <v>540</v>
      </c>
      <c r="F144" s="4"/>
      <c r="G144" s="223">
        <f t="shared" ref="G144:G154" si="46">SUM(C144:E144)</f>
        <v>540</v>
      </c>
      <c r="H144" s="223"/>
    </row>
    <row r="145" spans="1:8" x14ac:dyDescent="0.25">
      <c r="A145" s="137">
        <v>132</v>
      </c>
      <c r="B145" t="s">
        <v>215</v>
      </c>
      <c r="C145" s="4"/>
      <c r="D145" s="4"/>
      <c r="E145" s="4">
        <f>M14</f>
        <v>540</v>
      </c>
      <c r="F145" s="4"/>
      <c r="G145" s="223">
        <f t="shared" si="46"/>
        <v>540</v>
      </c>
      <c r="H145" s="223"/>
    </row>
    <row r="146" spans="1:8" x14ac:dyDescent="0.25">
      <c r="A146" s="137">
        <v>133</v>
      </c>
      <c r="B146" t="s">
        <v>215</v>
      </c>
      <c r="C146" s="4"/>
      <c r="D146" s="4"/>
      <c r="E146" s="4">
        <f>M15</f>
        <v>540</v>
      </c>
      <c r="F146" s="4"/>
      <c r="G146" s="223">
        <f t="shared" ref="G146" si="47">SUM(C146:E146)</f>
        <v>540</v>
      </c>
      <c r="H146" s="223"/>
    </row>
    <row r="147" spans="1:8" x14ac:dyDescent="0.25">
      <c r="A147" s="177">
        <v>134</v>
      </c>
      <c r="B147" t="s">
        <v>215</v>
      </c>
      <c r="C147" s="4"/>
      <c r="D147" s="4"/>
      <c r="E147" s="4">
        <f>M16</f>
        <v>540</v>
      </c>
      <c r="F147" s="4"/>
      <c r="G147" s="223">
        <f t="shared" ref="G147" si="48">SUM(C147:E147)</f>
        <v>540</v>
      </c>
      <c r="H147" s="215"/>
    </row>
    <row r="148" spans="1:8" x14ac:dyDescent="0.25">
      <c r="A148" s="177">
        <v>135</v>
      </c>
      <c r="B148" t="s">
        <v>219</v>
      </c>
      <c r="C148" s="4"/>
      <c r="D148" s="4"/>
      <c r="E148" s="4"/>
      <c r="F148" s="4">
        <f>M17</f>
        <v>540</v>
      </c>
      <c r="G148" s="223">
        <f>SUM(C148:F148)</f>
        <v>540</v>
      </c>
      <c r="H148" s="223"/>
    </row>
    <row r="149" spans="1:8" x14ac:dyDescent="0.25">
      <c r="A149" s="177">
        <v>136</v>
      </c>
      <c r="B149" t="s">
        <v>216</v>
      </c>
      <c r="C149" s="4"/>
      <c r="D149" s="4"/>
      <c r="E149" s="4"/>
      <c r="F149" s="4">
        <f>M18</f>
        <v>540</v>
      </c>
      <c r="G149" s="223">
        <f t="shared" ref="G149:G151" si="49">SUM(C149:F149)</f>
        <v>540</v>
      </c>
      <c r="H149" s="223"/>
    </row>
    <row r="150" spans="1:8" x14ac:dyDescent="0.25">
      <c r="A150" s="177">
        <v>137</v>
      </c>
      <c r="B150" t="s">
        <v>216</v>
      </c>
      <c r="C150" s="4"/>
      <c r="D150" s="4"/>
      <c r="E150" s="4"/>
      <c r="F150" s="4">
        <f>M19</f>
        <v>540</v>
      </c>
      <c r="G150" s="223">
        <f t="shared" si="49"/>
        <v>540</v>
      </c>
      <c r="H150" s="223"/>
    </row>
    <row r="151" spans="1:8" x14ac:dyDescent="0.25">
      <c r="A151" s="177">
        <v>138</v>
      </c>
      <c r="B151" t="s">
        <v>220</v>
      </c>
      <c r="C151" s="4"/>
      <c r="D151" s="4"/>
      <c r="E151" s="4"/>
      <c r="F151" s="4">
        <f>M20</f>
        <v>0</v>
      </c>
      <c r="G151" s="223">
        <f t="shared" si="49"/>
        <v>0</v>
      </c>
      <c r="H151" s="223"/>
    </row>
    <row r="152" spans="1:8" x14ac:dyDescent="0.25">
      <c r="A152" s="177">
        <v>139</v>
      </c>
      <c r="B152" t="s">
        <v>80</v>
      </c>
      <c r="C152" s="4">
        <f>(M21/2)</f>
        <v>0</v>
      </c>
      <c r="D152" s="4">
        <f>(M21/2)</f>
        <v>0</v>
      </c>
      <c r="E152" s="4"/>
      <c r="F152" s="4"/>
      <c r="G152" s="223">
        <f t="shared" si="46"/>
        <v>0</v>
      </c>
      <c r="H152" s="223"/>
    </row>
    <row r="153" spans="1:8" x14ac:dyDescent="0.25">
      <c r="A153" s="177">
        <v>140</v>
      </c>
      <c r="B153" t="s">
        <v>81</v>
      </c>
      <c r="C153" s="4">
        <f>(M22/2)</f>
        <v>270</v>
      </c>
      <c r="D153" s="4">
        <f>(M22/2)</f>
        <v>270</v>
      </c>
      <c r="E153" s="4"/>
      <c r="F153" s="4"/>
      <c r="G153" s="223">
        <f t="shared" si="46"/>
        <v>540</v>
      </c>
      <c r="H153" s="223"/>
    </row>
    <row r="154" spans="1:8" x14ac:dyDescent="0.25">
      <c r="A154" s="177">
        <v>141</v>
      </c>
      <c r="B154" t="s">
        <v>82</v>
      </c>
      <c r="C154" s="4"/>
      <c r="D154" s="4"/>
      <c r="E154" s="4">
        <f>M23</f>
        <v>540</v>
      </c>
      <c r="F154" s="4"/>
      <c r="G154" s="223">
        <f t="shared" si="46"/>
        <v>540</v>
      </c>
      <c r="H154" s="223"/>
    </row>
    <row r="155" spans="1:8" x14ac:dyDescent="0.25">
      <c r="A155" s="177">
        <v>142</v>
      </c>
      <c r="B155" t="s">
        <v>243</v>
      </c>
      <c r="C155" s="4"/>
      <c r="D155" s="4"/>
      <c r="E155" s="4"/>
      <c r="F155" s="4">
        <f>M24</f>
        <v>540</v>
      </c>
      <c r="G155" s="223">
        <f>SUM(C155:F155)</f>
        <v>540</v>
      </c>
      <c r="H155" s="223"/>
    </row>
    <row r="156" spans="1:8" x14ac:dyDescent="0.25">
      <c r="A156" s="177">
        <v>143</v>
      </c>
      <c r="B156" t="s">
        <v>248</v>
      </c>
      <c r="C156" s="4"/>
      <c r="D156" s="4"/>
      <c r="E156" s="4">
        <f t="shared" ref="E156" si="50">M25</f>
        <v>540</v>
      </c>
      <c r="F156" s="4"/>
      <c r="G156" s="223">
        <f t="shared" ref="G156:G157" si="51">SUM(C156:E156)</f>
        <v>540</v>
      </c>
      <c r="H156" s="223"/>
    </row>
    <row r="157" spans="1:8" x14ac:dyDescent="0.25">
      <c r="A157" s="177">
        <v>144</v>
      </c>
      <c r="B157" t="s">
        <v>250</v>
      </c>
      <c r="C157" s="4">
        <f t="shared" ref="C157" si="52">(M26/2)</f>
        <v>270</v>
      </c>
      <c r="D157" s="4">
        <f t="shared" ref="D157" si="53">(M26/2)</f>
        <v>270</v>
      </c>
      <c r="E157" s="4"/>
      <c r="F157" s="4"/>
      <c r="G157" s="223">
        <f t="shared" si="51"/>
        <v>540</v>
      </c>
      <c r="H157" s="223"/>
    </row>
    <row r="158" spans="1:8" x14ac:dyDescent="0.25">
      <c r="A158" s="177">
        <v>145</v>
      </c>
      <c r="B158" t="s">
        <v>91</v>
      </c>
      <c r="C158" s="4"/>
      <c r="D158" s="4"/>
      <c r="E158" s="4"/>
      <c r="F158" s="4"/>
      <c r="G158" s="4"/>
      <c r="H158" s="4"/>
    </row>
    <row r="159" spans="1:8" x14ac:dyDescent="0.25">
      <c r="A159" s="177">
        <v>146</v>
      </c>
      <c r="B159" t="s">
        <v>92</v>
      </c>
      <c r="C159" s="4"/>
      <c r="D159" s="4"/>
      <c r="E159" s="4"/>
      <c r="F159" s="4"/>
      <c r="G159" s="4"/>
      <c r="H159" s="4"/>
    </row>
    <row r="160" spans="1:8" x14ac:dyDescent="0.25">
      <c r="A160" s="177">
        <v>147</v>
      </c>
      <c r="B160" t="s">
        <v>93</v>
      </c>
      <c r="C160" s="4"/>
      <c r="D160" s="4"/>
      <c r="E160" s="4"/>
      <c r="F160" s="4"/>
      <c r="G160" s="4"/>
      <c r="H160" s="4"/>
    </row>
    <row r="161" spans="1:8" x14ac:dyDescent="0.25">
      <c r="A161" s="177">
        <v>148</v>
      </c>
      <c r="B161" t="s">
        <v>94</v>
      </c>
      <c r="C161" s="4"/>
      <c r="D161" s="4"/>
      <c r="E161" s="4"/>
      <c r="F161" s="4"/>
      <c r="G161" s="4"/>
      <c r="H161" s="4"/>
    </row>
    <row r="162" spans="1:8" x14ac:dyDescent="0.25">
      <c r="A162" s="177">
        <v>149</v>
      </c>
      <c r="B162" t="s">
        <v>95</v>
      </c>
      <c r="C162" s="4"/>
      <c r="D162" s="4"/>
      <c r="E162" s="4"/>
      <c r="F162" s="4"/>
      <c r="G162" s="4"/>
      <c r="H162" s="4"/>
    </row>
    <row r="163" spans="1:8" x14ac:dyDescent="0.25">
      <c r="A163" s="177">
        <v>150</v>
      </c>
      <c r="C163" s="4"/>
      <c r="D163" s="4"/>
      <c r="E163" s="4"/>
      <c r="F163" s="4"/>
      <c r="G163" s="4"/>
      <c r="H163" s="4"/>
    </row>
    <row r="164" spans="1:8" x14ac:dyDescent="0.25">
      <c r="A164" s="177">
        <v>151</v>
      </c>
      <c r="B164" s="8" t="s">
        <v>90</v>
      </c>
      <c r="C164" s="5">
        <f>SUM(C134:C161)</f>
        <v>1674</v>
      </c>
      <c r="D164" s="5">
        <f t="shared" ref="D164:F164" si="54">SUM(D134:D161)</f>
        <v>1674</v>
      </c>
      <c r="E164" s="5">
        <f t="shared" si="54"/>
        <v>3456</v>
      </c>
      <c r="F164" s="125">
        <f t="shared" si="54"/>
        <v>2376</v>
      </c>
      <c r="G164" s="223">
        <f>SUM(G134:H161)</f>
        <v>9180</v>
      </c>
      <c r="H164" s="215"/>
    </row>
    <row r="165" spans="1:8" x14ac:dyDescent="0.25">
      <c r="A165" s="226"/>
      <c r="B165" s="226"/>
      <c r="C165" s="226"/>
      <c r="D165" s="226"/>
      <c r="E165" s="226"/>
      <c r="F165" s="226"/>
      <c r="G165" s="226"/>
      <c r="H165" s="226"/>
    </row>
    <row r="166" spans="1:8" x14ac:dyDescent="0.25">
      <c r="A166" s="1"/>
      <c r="B166" s="2" t="s">
        <v>275</v>
      </c>
      <c r="C166" s="1" t="s">
        <v>36</v>
      </c>
      <c r="D166" s="1" t="s">
        <v>37</v>
      </c>
      <c r="E166" s="1" t="s">
        <v>38</v>
      </c>
      <c r="F166" s="124" t="s">
        <v>226</v>
      </c>
      <c r="G166" s="215" t="s">
        <v>98</v>
      </c>
      <c r="H166" s="215"/>
    </row>
    <row r="167" spans="1:8" x14ac:dyDescent="0.25">
      <c r="A167" s="1">
        <v>152</v>
      </c>
      <c r="B167" t="s">
        <v>35</v>
      </c>
      <c r="C167" s="4">
        <f>Q5*0.4</f>
        <v>0</v>
      </c>
      <c r="D167" s="4">
        <f>Q5*0.4</f>
        <v>0</v>
      </c>
      <c r="E167" s="4">
        <f>Q5*0.1</f>
        <v>0</v>
      </c>
      <c r="F167" s="4">
        <f>Q5*0.1</f>
        <v>0</v>
      </c>
      <c r="G167" s="223">
        <f>SUM(C167:F167)</f>
        <v>0</v>
      </c>
      <c r="H167" s="223"/>
    </row>
    <row r="168" spans="1:8" x14ac:dyDescent="0.25">
      <c r="A168" s="1">
        <v>153</v>
      </c>
      <c r="B168" t="s">
        <v>40</v>
      </c>
      <c r="C168" s="4">
        <f>Q6*0.3</f>
        <v>48</v>
      </c>
      <c r="D168" s="4">
        <f>Q6*0.3</f>
        <v>48</v>
      </c>
      <c r="E168" s="4">
        <f>Q6*0.3</f>
        <v>48</v>
      </c>
      <c r="F168" s="4">
        <f>Q6*0.1</f>
        <v>16</v>
      </c>
      <c r="G168" s="223">
        <f>SUM(C168:F168)</f>
        <v>160</v>
      </c>
      <c r="H168" s="223"/>
    </row>
    <row r="169" spans="1:8" x14ac:dyDescent="0.25">
      <c r="A169" s="137">
        <v>154</v>
      </c>
      <c r="B169" t="s">
        <v>41</v>
      </c>
      <c r="C169" s="4">
        <f>Q7*0.3</f>
        <v>48</v>
      </c>
      <c r="D169" s="4">
        <f>Q7*0.3</f>
        <v>48</v>
      </c>
      <c r="E169" s="4">
        <f>Q7*0.1</f>
        <v>16</v>
      </c>
      <c r="F169" s="4">
        <f>Q7*0.3</f>
        <v>48</v>
      </c>
      <c r="G169" s="223">
        <f>SUM(C169:F169)</f>
        <v>160</v>
      </c>
      <c r="H169" s="223"/>
    </row>
    <row r="170" spans="1:8" x14ac:dyDescent="0.25">
      <c r="A170" s="137">
        <v>155</v>
      </c>
      <c r="C170" s="4"/>
      <c r="D170" s="4"/>
      <c r="E170" s="4"/>
      <c r="F170" s="4"/>
      <c r="G170" s="223"/>
      <c r="H170" s="223"/>
    </row>
    <row r="171" spans="1:8" x14ac:dyDescent="0.25">
      <c r="A171" s="137">
        <v>156</v>
      </c>
      <c r="B171" t="s">
        <v>42</v>
      </c>
      <c r="C171" s="4">
        <f>Q8*0.15</f>
        <v>0</v>
      </c>
      <c r="D171" s="4">
        <f>Q8*0.15</f>
        <v>0</v>
      </c>
      <c r="E171" s="4">
        <f>Q8*0.7</f>
        <v>0</v>
      </c>
      <c r="F171" s="4"/>
      <c r="G171" s="223">
        <f t="shared" ref="G171:G177" si="55">SUM(C171:E171)</f>
        <v>0</v>
      </c>
      <c r="H171" s="223"/>
    </row>
    <row r="172" spans="1:8" x14ac:dyDescent="0.25">
      <c r="A172" s="137">
        <v>157</v>
      </c>
      <c r="B172" t="s">
        <v>43</v>
      </c>
      <c r="C172" s="4">
        <f>Q9*0.5</f>
        <v>80</v>
      </c>
      <c r="D172" s="4">
        <f>Q9*0.5</f>
        <v>80</v>
      </c>
      <c r="E172" s="4"/>
      <c r="F172" s="4"/>
      <c r="G172" s="223">
        <f t="shared" si="55"/>
        <v>160</v>
      </c>
      <c r="H172" s="223"/>
    </row>
    <row r="173" spans="1:8" x14ac:dyDescent="0.25">
      <c r="A173" s="137">
        <v>158</v>
      </c>
      <c r="B173" t="s">
        <v>45</v>
      </c>
      <c r="C173" s="4">
        <f>Q10*0.5</f>
        <v>80</v>
      </c>
      <c r="D173" s="4">
        <f>Q10*0.5</f>
        <v>80</v>
      </c>
      <c r="E173" s="4"/>
      <c r="F173" s="4"/>
      <c r="G173" s="223">
        <f t="shared" si="55"/>
        <v>160</v>
      </c>
      <c r="H173" s="223"/>
    </row>
    <row r="174" spans="1:8" x14ac:dyDescent="0.25">
      <c r="A174" s="137">
        <v>159</v>
      </c>
      <c r="B174" t="s">
        <v>45</v>
      </c>
      <c r="C174" s="4">
        <f>Q11*0.5</f>
        <v>80</v>
      </c>
      <c r="D174" s="4">
        <f>Q11*0.5</f>
        <v>80</v>
      </c>
      <c r="E174" s="4"/>
      <c r="F174" s="4"/>
      <c r="G174" s="223">
        <f t="shared" si="55"/>
        <v>160</v>
      </c>
      <c r="H174" s="223"/>
    </row>
    <row r="175" spans="1:8" x14ac:dyDescent="0.25">
      <c r="A175" s="137">
        <v>160</v>
      </c>
      <c r="B175" t="s">
        <v>39</v>
      </c>
      <c r="C175" s="4"/>
      <c r="D175" s="4"/>
      <c r="E175" s="4">
        <f>Q12</f>
        <v>160</v>
      </c>
      <c r="F175" s="4"/>
      <c r="G175" s="223">
        <f t="shared" si="55"/>
        <v>160</v>
      </c>
      <c r="H175" s="223"/>
    </row>
    <row r="176" spans="1:8" x14ac:dyDescent="0.25">
      <c r="A176" s="137">
        <v>161</v>
      </c>
      <c r="B176" t="s">
        <v>218</v>
      </c>
      <c r="C176" s="4"/>
      <c r="D176" s="4"/>
      <c r="E176" s="4">
        <f>Q13</f>
        <v>160</v>
      </c>
      <c r="F176" s="4"/>
      <c r="G176" s="223">
        <f t="shared" si="55"/>
        <v>160</v>
      </c>
      <c r="H176" s="223"/>
    </row>
    <row r="177" spans="1:8" x14ac:dyDescent="0.25">
      <c r="A177" s="137">
        <v>162</v>
      </c>
      <c r="B177" t="s">
        <v>215</v>
      </c>
      <c r="C177" s="4"/>
      <c r="D177" s="4"/>
      <c r="E177" s="4">
        <f>Q14</f>
        <v>160</v>
      </c>
      <c r="F177" s="4"/>
      <c r="G177" s="223">
        <f t="shared" si="55"/>
        <v>160</v>
      </c>
      <c r="H177" s="223"/>
    </row>
    <row r="178" spans="1:8" x14ac:dyDescent="0.25">
      <c r="A178" s="177">
        <v>163</v>
      </c>
      <c r="B178" t="s">
        <v>215</v>
      </c>
      <c r="C178" s="4"/>
      <c r="D178" s="4"/>
      <c r="E178" s="4">
        <f>Q15</f>
        <v>160</v>
      </c>
      <c r="F178" s="4"/>
      <c r="G178" s="223">
        <f t="shared" ref="G178" si="56">SUM(C178:E178)</f>
        <v>160</v>
      </c>
      <c r="H178" s="223"/>
    </row>
    <row r="179" spans="1:8" x14ac:dyDescent="0.25">
      <c r="A179" s="177">
        <v>164</v>
      </c>
      <c r="B179" t="s">
        <v>215</v>
      </c>
      <c r="C179" s="4"/>
      <c r="D179" s="4"/>
      <c r="E179" s="4">
        <f>Q16</f>
        <v>160</v>
      </c>
      <c r="F179" s="4"/>
      <c r="G179" s="223">
        <f>SUM(C179:F179)</f>
        <v>160</v>
      </c>
      <c r="H179" s="215"/>
    </row>
    <row r="180" spans="1:8" x14ac:dyDescent="0.25">
      <c r="A180" s="177">
        <v>165</v>
      </c>
      <c r="B180" t="s">
        <v>219</v>
      </c>
      <c r="C180" s="4"/>
      <c r="D180" s="4"/>
      <c r="E180" s="130"/>
      <c r="F180" s="4">
        <f>Q17</f>
        <v>160</v>
      </c>
      <c r="G180" s="223">
        <f>SUM(C180:F180)</f>
        <v>160</v>
      </c>
      <c r="H180" s="223"/>
    </row>
    <row r="181" spans="1:8" x14ac:dyDescent="0.25">
      <c r="A181" s="177">
        <v>166</v>
      </c>
      <c r="B181" t="s">
        <v>216</v>
      </c>
      <c r="C181" s="4"/>
      <c r="D181" s="4"/>
      <c r="E181" s="130"/>
      <c r="F181" s="4">
        <f>Q18</f>
        <v>160</v>
      </c>
      <c r="G181" s="223">
        <f t="shared" ref="G181:G183" si="57">SUM(C181:F181)</f>
        <v>160</v>
      </c>
      <c r="H181" s="223"/>
    </row>
    <row r="182" spans="1:8" x14ac:dyDescent="0.25">
      <c r="A182" s="177">
        <v>167</v>
      </c>
      <c r="B182" t="s">
        <v>216</v>
      </c>
      <c r="C182" s="4"/>
      <c r="D182" s="4"/>
      <c r="E182" s="130"/>
      <c r="F182" s="4">
        <f>Q19</f>
        <v>160</v>
      </c>
      <c r="G182" s="223">
        <f t="shared" si="57"/>
        <v>160</v>
      </c>
      <c r="H182" s="223"/>
    </row>
    <row r="183" spans="1:8" x14ac:dyDescent="0.25">
      <c r="A183" s="177">
        <v>168</v>
      </c>
      <c r="B183" t="s">
        <v>220</v>
      </c>
      <c r="C183" s="4"/>
      <c r="D183" s="4"/>
      <c r="E183" s="130"/>
      <c r="F183" s="4">
        <f>Q20</f>
        <v>0</v>
      </c>
      <c r="G183" s="223">
        <f t="shared" si="57"/>
        <v>0</v>
      </c>
      <c r="H183" s="223"/>
    </row>
    <row r="184" spans="1:8" x14ac:dyDescent="0.25">
      <c r="A184" s="177">
        <v>169</v>
      </c>
      <c r="B184" t="s">
        <v>80</v>
      </c>
      <c r="C184" s="4"/>
      <c r="D184" s="4"/>
      <c r="E184" s="4"/>
      <c r="F184" s="4"/>
      <c r="G184" s="223"/>
      <c r="H184" s="223"/>
    </row>
    <row r="185" spans="1:8" x14ac:dyDescent="0.25">
      <c r="A185" s="177">
        <v>170</v>
      </c>
      <c r="B185" t="s">
        <v>81</v>
      </c>
      <c r="C185" s="4"/>
      <c r="D185" s="4"/>
      <c r="E185" s="4"/>
      <c r="F185" s="4"/>
      <c r="G185" s="223"/>
      <c r="H185" s="223"/>
    </row>
    <row r="186" spans="1:8" x14ac:dyDescent="0.25">
      <c r="A186" s="177">
        <v>171</v>
      </c>
      <c r="B186" t="s">
        <v>82</v>
      </c>
      <c r="C186" s="4"/>
      <c r="D186" s="4"/>
      <c r="E186" s="4"/>
      <c r="F186" s="4"/>
      <c r="G186" s="223"/>
      <c r="H186" s="223"/>
    </row>
    <row r="187" spans="1:8" x14ac:dyDescent="0.25">
      <c r="A187" s="177">
        <v>172</v>
      </c>
      <c r="B187" t="s">
        <v>243</v>
      </c>
      <c r="C187" s="4"/>
      <c r="D187" s="4"/>
      <c r="E187" s="4"/>
      <c r="F187" s="4"/>
      <c r="G187" s="138"/>
      <c r="H187" s="138"/>
    </row>
    <row r="188" spans="1:8" x14ac:dyDescent="0.25">
      <c r="A188" s="177">
        <v>173</v>
      </c>
      <c r="B188" t="s">
        <v>248</v>
      </c>
      <c r="C188" s="4"/>
      <c r="D188" s="4"/>
      <c r="E188" s="4"/>
      <c r="F188" s="4"/>
      <c r="G188" s="138"/>
      <c r="H188" s="138"/>
    </row>
    <row r="189" spans="1:8" x14ac:dyDescent="0.25">
      <c r="A189" s="177">
        <v>174</v>
      </c>
      <c r="B189" t="s">
        <v>250</v>
      </c>
      <c r="C189" s="4"/>
      <c r="D189" s="4"/>
      <c r="E189" s="4"/>
      <c r="F189" s="4"/>
      <c r="G189" s="138"/>
      <c r="H189" s="138"/>
    </row>
    <row r="190" spans="1:8" x14ac:dyDescent="0.25">
      <c r="A190" s="177">
        <v>175</v>
      </c>
      <c r="B190" t="s">
        <v>91</v>
      </c>
      <c r="C190" s="4">
        <f>Q27*0.25</f>
        <v>0</v>
      </c>
      <c r="D190" s="4">
        <f>Q27*0.25</f>
        <v>0</v>
      </c>
      <c r="E190" s="4">
        <f>Q27*0.25</f>
        <v>0</v>
      </c>
      <c r="F190" s="4">
        <f>Q27*0.25</f>
        <v>0</v>
      </c>
      <c r="G190" s="223">
        <f>SUM(C190:F190)</f>
        <v>0</v>
      </c>
      <c r="H190" s="223"/>
    </row>
    <row r="191" spans="1:8" x14ac:dyDescent="0.25">
      <c r="A191" s="177">
        <v>176</v>
      </c>
      <c r="B191" t="s">
        <v>92</v>
      </c>
      <c r="C191" s="4">
        <f>Q28*0.25</f>
        <v>0</v>
      </c>
      <c r="D191" s="4">
        <f>Q28*0.25</f>
        <v>0</v>
      </c>
      <c r="E191" s="4">
        <f>Q28*0.25</f>
        <v>0</v>
      </c>
      <c r="F191" s="4">
        <f>Q28*0.25</f>
        <v>0</v>
      </c>
      <c r="G191" s="223">
        <f t="shared" ref="G191:G194" si="58">SUM(C191:F191)</f>
        <v>0</v>
      </c>
      <c r="H191" s="223"/>
    </row>
    <row r="192" spans="1:8" x14ac:dyDescent="0.25">
      <c r="A192" s="177">
        <v>177</v>
      </c>
      <c r="B192" t="s">
        <v>93</v>
      </c>
      <c r="C192" s="4">
        <f>Q29*0.25</f>
        <v>0</v>
      </c>
      <c r="D192" s="4">
        <f>Q29*0.25</f>
        <v>0</v>
      </c>
      <c r="E192" s="4">
        <f>Q29*0.25</f>
        <v>0</v>
      </c>
      <c r="F192" s="4">
        <f>Q29*0.25</f>
        <v>0</v>
      </c>
      <c r="G192" s="223">
        <f t="shared" si="58"/>
        <v>0</v>
      </c>
      <c r="H192" s="223"/>
    </row>
    <row r="193" spans="1:9" x14ac:dyDescent="0.25">
      <c r="A193" s="177">
        <v>178</v>
      </c>
      <c r="B193" t="s">
        <v>94</v>
      </c>
      <c r="C193" s="4">
        <f>Q30*0.25</f>
        <v>0</v>
      </c>
      <c r="D193" s="4">
        <f>Q30*0.25</f>
        <v>0</v>
      </c>
      <c r="E193" s="4">
        <f>Q30*0.25</f>
        <v>0</v>
      </c>
      <c r="F193" s="4">
        <f>Q30*0.25</f>
        <v>0</v>
      </c>
      <c r="G193" s="223">
        <f t="shared" si="58"/>
        <v>0</v>
      </c>
      <c r="H193" s="223"/>
    </row>
    <row r="194" spans="1:9" x14ac:dyDescent="0.25">
      <c r="A194" s="177">
        <v>179</v>
      </c>
      <c r="B194" t="s">
        <v>95</v>
      </c>
      <c r="C194" s="4">
        <f>Q31*0.25</f>
        <v>0</v>
      </c>
      <c r="D194" s="4">
        <f>Q31*0.25</f>
        <v>0</v>
      </c>
      <c r="E194" s="4">
        <f>Q31*0.25</f>
        <v>0</v>
      </c>
      <c r="F194" s="4">
        <f>Q31*0.25</f>
        <v>0</v>
      </c>
      <c r="G194" s="223">
        <f t="shared" si="58"/>
        <v>0</v>
      </c>
      <c r="H194" s="223"/>
    </row>
    <row r="195" spans="1:9" x14ac:dyDescent="0.25">
      <c r="A195" s="177">
        <v>180</v>
      </c>
      <c r="C195" s="4"/>
      <c r="D195" s="4"/>
      <c r="E195" s="4"/>
      <c r="F195" s="4"/>
      <c r="G195" s="4"/>
      <c r="H195" s="4"/>
      <c r="I195" s="4">
        <f>SUM(C196:F196)</f>
        <v>2080</v>
      </c>
    </row>
    <row r="196" spans="1:9" x14ac:dyDescent="0.25">
      <c r="A196" s="177">
        <v>181</v>
      </c>
      <c r="B196" s="8" t="s">
        <v>90</v>
      </c>
      <c r="C196" s="5">
        <f>SUM(C166:C194)</f>
        <v>336</v>
      </c>
      <c r="D196" s="5">
        <f>SUM(D166:D194)</f>
        <v>336</v>
      </c>
      <c r="E196" s="5">
        <f>SUM(E166:E194)</f>
        <v>864</v>
      </c>
      <c r="F196" s="125">
        <f>SUM(F166:F194)</f>
        <v>544</v>
      </c>
      <c r="G196" s="223">
        <f>SUM(G167:H194)</f>
        <v>2080</v>
      </c>
      <c r="H196" s="215"/>
    </row>
    <row r="197" spans="1:9" x14ac:dyDescent="0.25">
      <c r="A197" s="226"/>
      <c r="B197" s="226"/>
      <c r="C197" s="226"/>
      <c r="D197" s="226"/>
      <c r="E197" s="226"/>
      <c r="F197" s="226"/>
      <c r="G197" s="226"/>
      <c r="H197" s="226"/>
    </row>
    <row r="198" spans="1:9" x14ac:dyDescent="0.25">
      <c r="A198" s="1"/>
      <c r="B198" s="230" t="s">
        <v>121</v>
      </c>
      <c r="C198" s="230"/>
      <c r="D198" s="1"/>
      <c r="E198" s="1" t="s">
        <v>38</v>
      </c>
      <c r="F198" t="s">
        <v>226</v>
      </c>
      <c r="G198" s="215" t="s">
        <v>98</v>
      </c>
      <c r="H198" s="215"/>
    </row>
    <row r="199" spans="1:9" x14ac:dyDescent="0.25">
      <c r="A199" s="1">
        <v>182</v>
      </c>
      <c r="B199" t="s">
        <v>35</v>
      </c>
      <c r="C199" s="4"/>
      <c r="D199" s="4"/>
      <c r="E199" s="4"/>
      <c r="F199" s="4"/>
      <c r="G199" s="223">
        <f t="shared" ref="G199:G226" si="59">SUM(C199:E199)</f>
        <v>0</v>
      </c>
      <c r="H199" s="223"/>
    </row>
    <row r="200" spans="1:9" x14ac:dyDescent="0.25">
      <c r="A200" s="1">
        <v>183</v>
      </c>
      <c r="B200" t="s">
        <v>40</v>
      </c>
      <c r="C200" s="4"/>
      <c r="D200" s="4"/>
      <c r="E200" s="4"/>
      <c r="F200" s="4"/>
      <c r="G200" s="223">
        <f t="shared" si="59"/>
        <v>0</v>
      </c>
      <c r="H200" s="223"/>
    </row>
    <row r="201" spans="1:9" x14ac:dyDescent="0.25">
      <c r="A201" s="137">
        <v>184</v>
      </c>
      <c r="C201" s="4"/>
      <c r="D201" s="4"/>
      <c r="E201" s="4"/>
      <c r="F201" s="4"/>
      <c r="G201" s="5"/>
      <c r="H201" s="5"/>
    </row>
    <row r="202" spans="1:9" x14ac:dyDescent="0.25">
      <c r="A202" s="137">
        <v>185</v>
      </c>
      <c r="B202" t="s">
        <v>41</v>
      </c>
      <c r="C202" s="4"/>
      <c r="D202" s="4"/>
      <c r="E202" s="4"/>
      <c r="F202" s="4"/>
      <c r="G202" s="223">
        <f t="shared" si="59"/>
        <v>0</v>
      </c>
      <c r="H202" s="223"/>
    </row>
    <row r="203" spans="1:9" x14ac:dyDescent="0.25">
      <c r="A203" s="137">
        <v>186</v>
      </c>
      <c r="B203" t="s">
        <v>42</v>
      </c>
      <c r="C203" s="4"/>
      <c r="D203" s="4"/>
      <c r="E203" s="4">
        <v>0</v>
      </c>
      <c r="F203" s="4"/>
      <c r="G203" s="223">
        <f t="shared" si="59"/>
        <v>0</v>
      </c>
      <c r="H203" s="223"/>
    </row>
    <row r="204" spans="1:9" x14ac:dyDescent="0.25">
      <c r="A204" s="137">
        <v>187</v>
      </c>
      <c r="B204" t="s">
        <v>43</v>
      </c>
      <c r="C204" s="4"/>
      <c r="D204" s="4"/>
      <c r="E204" s="4"/>
      <c r="F204" s="4"/>
      <c r="G204" s="223">
        <f t="shared" si="59"/>
        <v>0</v>
      </c>
      <c r="H204" s="223"/>
    </row>
    <row r="205" spans="1:9" x14ac:dyDescent="0.25">
      <c r="A205" s="137">
        <v>188</v>
      </c>
      <c r="B205" t="s">
        <v>45</v>
      </c>
      <c r="C205" s="4"/>
      <c r="D205" s="4"/>
      <c r="E205" s="4"/>
      <c r="F205" s="4"/>
      <c r="G205" s="223">
        <f t="shared" si="59"/>
        <v>0</v>
      </c>
      <c r="H205" s="223"/>
    </row>
    <row r="206" spans="1:9" x14ac:dyDescent="0.25">
      <c r="A206" s="137">
        <v>189</v>
      </c>
      <c r="B206" t="s">
        <v>45</v>
      </c>
      <c r="C206" s="4"/>
      <c r="D206" s="4"/>
      <c r="E206" s="4"/>
      <c r="F206" s="4"/>
      <c r="G206" s="223">
        <f t="shared" si="59"/>
        <v>0</v>
      </c>
      <c r="H206" s="223"/>
    </row>
    <row r="207" spans="1:9" x14ac:dyDescent="0.25">
      <c r="A207" s="137">
        <v>190</v>
      </c>
      <c r="B207" t="s">
        <v>39</v>
      </c>
      <c r="C207" s="4"/>
      <c r="D207" s="4"/>
      <c r="E207" s="4">
        <v>400</v>
      </c>
      <c r="F207" s="4"/>
      <c r="G207" s="223">
        <f t="shared" si="59"/>
        <v>400</v>
      </c>
      <c r="H207" s="223"/>
    </row>
    <row r="208" spans="1:9" x14ac:dyDescent="0.25">
      <c r="A208" s="137">
        <v>191</v>
      </c>
      <c r="B208" t="s">
        <v>218</v>
      </c>
      <c r="C208" s="4"/>
      <c r="D208" s="4"/>
      <c r="E208" s="4">
        <v>800</v>
      </c>
      <c r="F208" s="4"/>
      <c r="G208" s="223">
        <f t="shared" si="59"/>
        <v>800</v>
      </c>
      <c r="H208" s="223"/>
    </row>
    <row r="209" spans="1:8" x14ac:dyDescent="0.25">
      <c r="A209" s="137">
        <v>192</v>
      </c>
      <c r="B209" t="s">
        <v>215</v>
      </c>
      <c r="C209" s="4"/>
      <c r="D209" s="4"/>
      <c r="E209" s="4">
        <v>800</v>
      </c>
      <c r="F209" s="4"/>
      <c r="G209" s="223">
        <f t="shared" si="59"/>
        <v>800</v>
      </c>
      <c r="H209" s="223"/>
    </row>
    <row r="210" spans="1:8" x14ac:dyDescent="0.25">
      <c r="A210" s="137">
        <v>193</v>
      </c>
      <c r="B210" t="s">
        <v>215</v>
      </c>
      <c r="C210" s="4"/>
      <c r="D210" s="4"/>
      <c r="E210" s="4">
        <v>800</v>
      </c>
      <c r="F210" s="4"/>
      <c r="G210" s="223">
        <f t="shared" ref="G210" si="60">SUM(C210:E210)</f>
        <v>800</v>
      </c>
      <c r="H210" s="223"/>
    </row>
    <row r="211" spans="1:8" x14ac:dyDescent="0.25">
      <c r="A211" s="177">
        <v>194</v>
      </c>
      <c r="B211" t="s">
        <v>215</v>
      </c>
      <c r="C211" s="4"/>
      <c r="D211" s="4"/>
      <c r="E211" s="4">
        <v>800</v>
      </c>
      <c r="F211" s="4"/>
      <c r="G211" s="223">
        <f t="shared" ref="G211" si="61">SUM(C211:E211)</f>
        <v>800</v>
      </c>
      <c r="H211" s="215"/>
    </row>
    <row r="212" spans="1:8" x14ac:dyDescent="0.25">
      <c r="A212" s="177">
        <v>195</v>
      </c>
      <c r="B212" t="s">
        <v>219</v>
      </c>
      <c r="C212" s="4"/>
      <c r="D212" s="4"/>
      <c r="E212" s="4"/>
      <c r="F212" s="4">
        <v>800</v>
      </c>
      <c r="G212" s="223">
        <f>SUM(C212:F212)</f>
        <v>800</v>
      </c>
      <c r="H212" s="223"/>
    </row>
    <row r="213" spans="1:8" x14ac:dyDescent="0.25">
      <c r="A213" s="177">
        <v>196</v>
      </c>
      <c r="B213" t="s">
        <v>216</v>
      </c>
      <c r="C213" s="4"/>
      <c r="D213" s="4"/>
      <c r="E213" s="4">
        <v>0</v>
      </c>
      <c r="F213" s="4">
        <v>800</v>
      </c>
      <c r="G213" s="223">
        <f t="shared" ref="G213:G215" si="62">SUM(C213:F213)</f>
        <v>800</v>
      </c>
      <c r="H213" s="223"/>
    </row>
    <row r="214" spans="1:8" x14ac:dyDescent="0.25">
      <c r="A214" s="177">
        <v>197</v>
      </c>
      <c r="B214" t="s">
        <v>216</v>
      </c>
      <c r="C214" s="4"/>
      <c r="D214" s="4"/>
      <c r="E214" s="4">
        <v>0</v>
      </c>
      <c r="F214" s="4">
        <v>800</v>
      </c>
      <c r="G214" s="223">
        <f t="shared" si="62"/>
        <v>800</v>
      </c>
      <c r="H214" s="223"/>
    </row>
    <row r="215" spans="1:8" x14ac:dyDescent="0.25">
      <c r="A215" s="177">
        <v>198</v>
      </c>
      <c r="B215" t="s">
        <v>220</v>
      </c>
      <c r="C215" s="4"/>
      <c r="D215" s="4"/>
      <c r="E215" s="4">
        <v>0</v>
      </c>
      <c r="F215" s="4">
        <v>0</v>
      </c>
      <c r="G215" s="223">
        <f t="shared" si="62"/>
        <v>0</v>
      </c>
      <c r="H215" s="223"/>
    </row>
    <row r="216" spans="1:8" x14ac:dyDescent="0.25">
      <c r="A216" s="177">
        <v>199</v>
      </c>
      <c r="B216" t="s">
        <v>80</v>
      </c>
      <c r="C216" s="4"/>
      <c r="D216" s="4"/>
      <c r="E216" s="4"/>
      <c r="F216" s="4"/>
      <c r="G216" s="223">
        <f t="shared" si="59"/>
        <v>0</v>
      </c>
      <c r="H216" s="223"/>
    </row>
    <row r="217" spans="1:8" x14ac:dyDescent="0.25">
      <c r="A217" s="177">
        <v>200</v>
      </c>
      <c r="B217" t="s">
        <v>81</v>
      </c>
      <c r="C217" s="4"/>
      <c r="D217" s="4"/>
      <c r="E217" s="4"/>
      <c r="F217" s="4"/>
      <c r="G217" s="223">
        <f t="shared" si="59"/>
        <v>0</v>
      </c>
      <c r="H217" s="223"/>
    </row>
    <row r="218" spans="1:8" x14ac:dyDescent="0.25">
      <c r="A218" s="177">
        <v>201</v>
      </c>
      <c r="B218" t="s">
        <v>82</v>
      </c>
      <c r="C218" s="4"/>
      <c r="D218" s="4"/>
      <c r="E218" s="4"/>
      <c r="F218" s="4"/>
      <c r="G218" s="223">
        <f t="shared" si="59"/>
        <v>0</v>
      </c>
      <c r="H218" s="223"/>
    </row>
    <row r="219" spans="1:8" x14ac:dyDescent="0.25">
      <c r="A219" s="177">
        <v>202</v>
      </c>
      <c r="B219" t="s">
        <v>243</v>
      </c>
      <c r="C219" s="4"/>
      <c r="D219" s="4"/>
      <c r="E219" s="4"/>
      <c r="F219" s="4"/>
      <c r="G219" s="138"/>
      <c r="H219" s="138"/>
    </row>
    <row r="220" spans="1:8" x14ac:dyDescent="0.25">
      <c r="A220" s="177">
        <v>203</v>
      </c>
      <c r="B220" t="s">
        <v>248</v>
      </c>
      <c r="C220" s="4"/>
      <c r="D220" s="4"/>
      <c r="E220" s="4"/>
      <c r="F220" s="4"/>
      <c r="G220" s="138"/>
      <c r="H220" s="138"/>
    </row>
    <row r="221" spans="1:8" x14ac:dyDescent="0.25">
      <c r="A221" s="177">
        <v>204</v>
      </c>
      <c r="B221" t="s">
        <v>250</v>
      </c>
      <c r="C221" s="4"/>
      <c r="D221" s="4"/>
      <c r="E221" s="4"/>
      <c r="F221" s="4"/>
      <c r="G221" s="138"/>
      <c r="H221" s="138"/>
    </row>
    <row r="222" spans="1:8" x14ac:dyDescent="0.25">
      <c r="A222" s="177">
        <v>205</v>
      </c>
      <c r="B222" t="s">
        <v>91</v>
      </c>
      <c r="C222" s="4"/>
      <c r="D222" s="4"/>
      <c r="E222" s="4"/>
      <c r="F222" s="4"/>
      <c r="G222" s="223">
        <f t="shared" si="59"/>
        <v>0</v>
      </c>
      <c r="H222" s="223"/>
    </row>
    <row r="223" spans="1:8" x14ac:dyDescent="0.25">
      <c r="A223" s="177">
        <v>206</v>
      </c>
      <c r="B223" t="s">
        <v>92</v>
      </c>
      <c r="C223" s="4"/>
      <c r="D223" s="4"/>
      <c r="E223" s="4"/>
      <c r="F223" s="4"/>
      <c r="G223" s="223">
        <f t="shared" si="59"/>
        <v>0</v>
      </c>
      <c r="H223" s="223"/>
    </row>
    <row r="224" spans="1:8" x14ac:dyDescent="0.25">
      <c r="A224" s="177">
        <v>207</v>
      </c>
      <c r="B224" t="s">
        <v>93</v>
      </c>
      <c r="C224" s="4"/>
      <c r="D224" s="4"/>
      <c r="E224" s="4"/>
      <c r="F224" s="4"/>
      <c r="G224" s="223">
        <f t="shared" si="59"/>
        <v>0</v>
      </c>
      <c r="H224" s="223"/>
    </row>
    <row r="225" spans="1:12" x14ac:dyDescent="0.25">
      <c r="A225" s="177">
        <v>208</v>
      </c>
      <c r="B225" t="s">
        <v>94</v>
      </c>
      <c r="C225" s="4"/>
      <c r="D225" s="4"/>
      <c r="E225" s="4"/>
      <c r="F225" s="4"/>
      <c r="G225" s="223">
        <f t="shared" si="59"/>
        <v>0</v>
      </c>
      <c r="H225" s="223"/>
    </row>
    <row r="226" spans="1:12" x14ac:dyDescent="0.25">
      <c r="A226" s="177">
        <v>209</v>
      </c>
      <c r="B226" t="s">
        <v>95</v>
      </c>
      <c r="C226" s="4"/>
      <c r="D226" s="4"/>
      <c r="E226" s="4"/>
      <c r="F226" s="4"/>
      <c r="G226" s="223">
        <f t="shared" si="59"/>
        <v>0</v>
      </c>
      <c r="H226" s="223"/>
    </row>
    <row r="227" spans="1:12" x14ac:dyDescent="0.25">
      <c r="A227" s="142"/>
      <c r="B227" s="8" t="s">
        <v>90</v>
      </c>
      <c r="C227" s="5">
        <f>SUM(C198:C225)</f>
        <v>0</v>
      </c>
      <c r="D227" s="5">
        <f>SUM(D198:D225)</f>
        <v>0</v>
      </c>
      <c r="E227" s="5">
        <f>SUM(E199:E225)</f>
        <v>3600</v>
      </c>
      <c r="F227" s="125">
        <f>SUM(F198:F225)</f>
        <v>2400</v>
      </c>
      <c r="G227" s="223">
        <f>SUM(G198:H225)</f>
        <v>6000</v>
      </c>
      <c r="H227" s="215"/>
    </row>
    <row r="228" spans="1:12" x14ac:dyDescent="0.25">
      <c r="A228" s="226"/>
      <c r="B228" s="226"/>
      <c r="C228" s="226"/>
      <c r="D228" s="226"/>
      <c r="E228" s="226"/>
      <c r="F228" s="226"/>
      <c r="G228" s="226"/>
      <c r="H228" s="226"/>
    </row>
    <row r="229" spans="1:12" s="147" customFormat="1" x14ac:dyDescent="0.25">
      <c r="A229" s="146"/>
      <c r="B229" s="227"/>
      <c r="C229" s="227"/>
      <c r="D229" s="227"/>
      <c r="E229" s="227"/>
      <c r="F229" s="227"/>
      <c r="G229" s="227"/>
      <c r="H229" s="227"/>
    </row>
    <row r="230" spans="1:12" s="147" customFormat="1" x14ac:dyDescent="0.25">
      <c r="A230" s="146">
        <v>209</v>
      </c>
      <c r="B230" s="144" t="s">
        <v>251</v>
      </c>
      <c r="C230" s="142" t="s">
        <v>36</v>
      </c>
      <c r="D230" s="142" t="s">
        <v>37</v>
      </c>
      <c r="E230" s="142" t="s">
        <v>38</v>
      </c>
      <c r="F230" s="142" t="s">
        <v>226</v>
      </c>
      <c r="G230" s="215" t="s">
        <v>98</v>
      </c>
      <c r="H230" s="215"/>
    </row>
    <row r="231" spans="1:12" s="147" customFormat="1" x14ac:dyDescent="0.25">
      <c r="A231" s="146">
        <v>210</v>
      </c>
      <c r="B231" s="146"/>
      <c r="C231" s="146"/>
      <c r="D231" s="146"/>
      <c r="E231" s="146"/>
      <c r="F231" s="146"/>
      <c r="G231" s="146"/>
      <c r="H231" s="146"/>
    </row>
    <row r="232" spans="1:12" x14ac:dyDescent="0.25">
      <c r="A232" s="142">
        <v>211</v>
      </c>
      <c r="B232" t="s">
        <v>35</v>
      </c>
      <c r="C232" s="4">
        <f>(S5*0.3)</f>
        <v>0</v>
      </c>
      <c r="D232" s="4">
        <f>(S5*0.3)</f>
        <v>0</v>
      </c>
      <c r="E232" s="4">
        <f>(S5*0.2)</f>
        <v>0</v>
      </c>
      <c r="F232" s="4">
        <f>(S5*0.2)</f>
        <v>0</v>
      </c>
      <c r="G232" s="223">
        <f>SUM(C232:F232)</f>
        <v>0</v>
      </c>
      <c r="H232" s="215"/>
      <c r="K232" s="106"/>
    </row>
    <row r="233" spans="1:12" x14ac:dyDescent="0.25">
      <c r="A233" s="142">
        <v>212</v>
      </c>
      <c r="B233" t="s">
        <v>40</v>
      </c>
      <c r="C233" s="4">
        <f>(S6*0.3)</f>
        <v>360</v>
      </c>
      <c r="D233" s="4">
        <f>(S6*0.3)</f>
        <v>360</v>
      </c>
      <c r="E233" s="4">
        <f>(S6*0.3)</f>
        <v>360</v>
      </c>
      <c r="F233" s="4">
        <f>(S6*0.1)</f>
        <v>120</v>
      </c>
      <c r="G233" s="223">
        <f>SUM(C233:F233)</f>
        <v>1200</v>
      </c>
      <c r="H233" s="215"/>
      <c r="K233" s="223">
        <f>SUM(G233:J233)</f>
        <v>1200</v>
      </c>
      <c r="L233" s="215"/>
    </row>
    <row r="234" spans="1:12" x14ac:dyDescent="0.25">
      <c r="A234" s="146">
        <v>213</v>
      </c>
      <c r="B234" t="s">
        <v>41</v>
      </c>
      <c r="C234" s="4">
        <f>(S7*0.3)</f>
        <v>360</v>
      </c>
      <c r="D234" s="4">
        <f>(S7*0.3)</f>
        <v>360</v>
      </c>
      <c r="E234" s="4">
        <f>(S7*0.1)</f>
        <v>120</v>
      </c>
      <c r="F234" s="4">
        <f>(S7*0.3)</f>
        <v>360</v>
      </c>
      <c r="G234" s="223">
        <f t="shared" ref="G234:G247" si="63">SUM(C234:F234)</f>
        <v>1200</v>
      </c>
      <c r="H234" s="215"/>
      <c r="K234" s="223">
        <f t="shared" ref="K234:K247" si="64">SUM(G234:J234)</f>
        <v>1200</v>
      </c>
      <c r="L234" s="215"/>
    </row>
    <row r="235" spans="1:12" x14ac:dyDescent="0.25">
      <c r="A235" s="146">
        <v>214</v>
      </c>
      <c r="B235" t="s">
        <v>42</v>
      </c>
      <c r="C235" s="4">
        <f t="shared" ref="C235" si="65">(S8*0.3)</f>
        <v>0</v>
      </c>
      <c r="D235" s="4">
        <f t="shared" ref="D235" si="66">(S8*0.3)</f>
        <v>0</v>
      </c>
      <c r="E235" s="4">
        <f t="shared" ref="E235" si="67">(S8*0.2)</f>
        <v>0</v>
      </c>
      <c r="F235" s="4">
        <f t="shared" ref="F235" si="68">(S8*0.2)</f>
        <v>0</v>
      </c>
      <c r="G235" s="223">
        <f t="shared" ref="G235:G238" si="69">SUM(C235:F235)</f>
        <v>0</v>
      </c>
      <c r="H235" s="215"/>
      <c r="K235" s="223">
        <f t="shared" si="64"/>
        <v>0</v>
      </c>
      <c r="L235" s="215"/>
    </row>
    <row r="236" spans="1:12" x14ac:dyDescent="0.25">
      <c r="A236" s="150">
        <v>215</v>
      </c>
      <c r="B236" t="s">
        <v>43</v>
      </c>
      <c r="C236" s="4">
        <f>(S9*0.5)</f>
        <v>600</v>
      </c>
      <c r="D236" s="4">
        <f>(S9*0.5)</f>
        <v>600</v>
      </c>
      <c r="E236" s="4"/>
      <c r="F236" s="4"/>
      <c r="G236" s="223">
        <f t="shared" si="69"/>
        <v>1200</v>
      </c>
      <c r="H236" s="215"/>
      <c r="K236" s="223">
        <f t="shared" si="64"/>
        <v>1200</v>
      </c>
      <c r="L236" s="215"/>
    </row>
    <row r="237" spans="1:12" x14ac:dyDescent="0.25">
      <c r="A237" s="150">
        <v>216</v>
      </c>
      <c r="B237" t="s">
        <v>45</v>
      </c>
      <c r="C237" s="4">
        <f>(S10*0.5)</f>
        <v>600</v>
      </c>
      <c r="D237" s="4">
        <f>(S10*0.5)</f>
        <v>600</v>
      </c>
      <c r="E237" s="4">
        <v>0</v>
      </c>
      <c r="F237" s="4">
        <v>0</v>
      </c>
      <c r="G237" s="223">
        <f t="shared" si="69"/>
        <v>1200</v>
      </c>
      <c r="H237" s="215"/>
      <c r="K237" s="223">
        <f t="shared" si="64"/>
        <v>1200</v>
      </c>
      <c r="L237" s="215"/>
    </row>
    <row r="238" spans="1:12" x14ac:dyDescent="0.25">
      <c r="A238" s="146">
        <v>217</v>
      </c>
      <c r="B238" t="s">
        <v>45</v>
      </c>
      <c r="C238" s="4">
        <f>(S11*0.5)</f>
        <v>600</v>
      </c>
      <c r="D238" s="4">
        <f>(S11*0.5)</f>
        <v>600</v>
      </c>
      <c r="E238" s="4">
        <v>0</v>
      </c>
      <c r="F238" s="4">
        <v>0</v>
      </c>
      <c r="G238" s="223">
        <f t="shared" si="69"/>
        <v>1200</v>
      </c>
      <c r="H238" s="215"/>
      <c r="K238" s="223">
        <f t="shared" si="64"/>
        <v>1200</v>
      </c>
      <c r="L238" s="215"/>
    </row>
    <row r="239" spans="1:12" x14ac:dyDescent="0.25">
      <c r="A239" s="146">
        <v>218</v>
      </c>
      <c r="B239" t="s">
        <v>39</v>
      </c>
      <c r="C239" s="4"/>
      <c r="D239" s="4"/>
      <c r="E239" s="4">
        <f>(S12*0.5)</f>
        <v>0</v>
      </c>
      <c r="F239" s="4">
        <f>(S12*0.5)</f>
        <v>0</v>
      </c>
      <c r="G239" s="223">
        <f t="shared" si="63"/>
        <v>0</v>
      </c>
      <c r="H239" s="215"/>
      <c r="K239" s="223">
        <f t="shared" si="64"/>
        <v>0</v>
      </c>
      <c r="L239" s="215"/>
    </row>
    <row r="240" spans="1:12" x14ac:dyDescent="0.25">
      <c r="A240" s="150">
        <v>219</v>
      </c>
      <c r="B240" t="s">
        <v>218</v>
      </c>
      <c r="C240" s="4"/>
      <c r="D240" s="4"/>
      <c r="E240" s="4">
        <f>S13</f>
        <v>200</v>
      </c>
      <c r="F240" s="4">
        <v>0</v>
      </c>
      <c r="G240" s="223">
        <f t="shared" si="63"/>
        <v>200</v>
      </c>
      <c r="H240" s="215"/>
      <c r="K240" s="223">
        <f t="shared" si="64"/>
        <v>200</v>
      </c>
      <c r="L240" s="215"/>
    </row>
    <row r="241" spans="1:12" x14ac:dyDescent="0.25">
      <c r="A241" s="150">
        <v>220</v>
      </c>
      <c r="B241" t="s">
        <v>215</v>
      </c>
      <c r="C241" s="4"/>
      <c r="D241" s="4"/>
      <c r="E241" s="4">
        <f>S14</f>
        <v>200</v>
      </c>
      <c r="F241" s="4">
        <v>0</v>
      </c>
      <c r="G241" s="223">
        <f t="shared" si="63"/>
        <v>200</v>
      </c>
      <c r="H241" s="215"/>
      <c r="K241" s="223">
        <f t="shared" si="64"/>
        <v>200</v>
      </c>
      <c r="L241" s="215"/>
    </row>
    <row r="242" spans="1:12" x14ac:dyDescent="0.25">
      <c r="A242" s="146">
        <v>221</v>
      </c>
      <c r="B242" t="s">
        <v>215</v>
      </c>
      <c r="C242" s="4"/>
      <c r="D242" s="4"/>
      <c r="E242" s="4">
        <f>S15</f>
        <v>200</v>
      </c>
      <c r="F242" s="4">
        <v>0</v>
      </c>
      <c r="G242" s="223">
        <f t="shared" si="63"/>
        <v>200</v>
      </c>
      <c r="H242" s="215"/>
      <c r="K242" s="223">
        <f t="shared" si="64"/>
        <v>200</v>
      </c>
      <c r="L242" s="215"/>
    </row>
    <row r="243" spans="1:12" x14ac:dyDescent="0.25">
      <c r="A243" s="180">
        <v>222</v>
      </c>
      <c r="B243" t="s">
        <v>215</v>
      </c>
      <c r="C243" s="4"/>
      <c r="D243" s="4"/>
      <c r="E243" s="4">
        <f>S16</f>
        <v>200</v>
      </c>
      <c r="F243" s="4">
        <v>0</v>
      </c>
      <c r="G243" s="223">
        <f t="shared" ref="G243" si="70">SUM(C243:F243)</f>
        <v>200</v>
      </c>
      <c r="H243" s="223"/>
      <c r="K243" s="223">
        <f t="shared" ref="K243" si="71">SUM(G243:J243)</f>
        <v>200</v>
      </c>
      <c r="L243" s="215"/>
    </row>
    <row r="244" spans="1:12" x14ac:dyDescent="0.25">
      <c r="A244" s="177">
        <v>223</v>
      </c>
      <c r="B244" t="s">
        <v>219</v>
      </c>
      <c r="C244" s="4"/>
      <c r="D244" s="4"/>
      <c r="E244" s="4">
        <v>0</v>
      </c>
      <c r="F244" s="4">
        <f>S17</f>
        <v>200</v>
      </c>
      <c r="G244" s="223">
        <f t="shared" si="63"/>
        <v>200</v>
      </c>
      <c r="H244" s="215"/>
      <c r="K244" s="223">
        <f t="shared" si="64"/>
        <v>200</v>
      </c>
      <c r="L244" s="215"/>
    </row>
    <row r="245" spans="1:12" x14ac:dyDescent="0.25">
      <c r="A245" s="180">
        <v>224</v>
      </c>
      <c r="B245" t="s">
        <v>216</v>
      </c>
      <c r="C245" s="4"/>
      <c r="D245" s="4"/>
      <c r="E245" s="4">
        <v>0</v>
      </c>
      <c r="F245" s="4">
        <f>S18</f>
        <v>200</v>
      </c>
      <c r="G245" s="223">
        <f t="shared" si="63"/>
        <v>200</v>
      </c>
      <c r="H245" s="215"/>
      <c r="K245" s="223">
        <f t="shared" si="64"/>
        <v>200</v>
      </c>
      <c r="L245" s="215"/>
    </row>
    <row r="246" spans="1:12" x14ac:dyDescent="0.25">
      <c r="A246" s="180">
        <v>225</v>
      </c>
      <c r="B246" t="s">
        <v>216</v>
      </c>
      <c r="C246" s="4"/>
      <c r="D246" s="4"/>
      <c r="E246" s="4">
        <v>0</v>
      </c>
      <c r="F246" s="4">
        <f>S19</f>
        <v>200</v>
      </c>
      <c r="G246" s="223">
        <f t="shared" si="63"/>
        <v>200</v>
      </c>
      <c r="H246" s="215"/>
      <c r="K246" s="223">
        <f t="shared" si="64"/>
        <v>200</v>
      </c>
      <c r="L246" s="215"/>
    </row>
    <row r="247" spans="1:12" x14ac:dyDescent="0.25">
      <c r="A247" s="177">
        <v>226</v>
      </c>
      <c r="B247" t="s">
        <v>220</v>
      </c>
      <c r="C247" s="4"/>
      <c r="D247" s="4"/>
      <c r="E247" s="4">
        <v>0</v>
      </c>
      <c r="F247" s="4">
        <f>S20</f>
        <v>0</v>
      </c>
      <c r="G247" s="223">
        <f t="shared" si="63"/>
        <v>0</v>
      </c>
      <c r="H247" s="215"/>
      <c r="K247" s="223">
        <f t="shared" si="64"/>
        <v>0</v>
      </c>
      <c r="L247" s="215"/>
    </row>
    <row r="248" spans="1:12" x14ac:dyDescent="0.25">
      <c r="A248" s="180">
        <v>227</v>
      </c>
      <c r="B248" t="s">
        <v>80</v>
      </c>
      <c r="C248" s="4"/>
      <c r="D248" s="4"/>
      <c r="E248" s="4"/>
      <c r="F248" s="4"/>
      <c r="G248" s="223"/>
      <c r="H248" s="215"/>
      <c r="K248" s="106"/>
    </row>
    <row r="249" spans="1:12" x14ac:dyDescent="0.25">
      <c r="A249" s="180">
        <v>228</v>
      </c>
      <c r="B249" t="s">
        <v>81</v>
      </c>
      <c r="C249" s="4"/>
      <c r="D249" s="4"/>
      <c r="E249" s="4"/>
      <c r="F249" s="4"/>
      <c r="G249" s="223"/>
      <c r="H249" s="215"/>
      <c r="K249" s="106"/>
    </row>
    <row r="250" spans="1:12" x14ac:dyDescent="0.25">
      <c r="A250" s="177">
        <v>229</v>
      </c>
      <c r="B250" t="s">
        <v>82</v>
      </c>
      <c r="C250" s="4"/>
      <c r="D250" s="4"/>
      <c r="E250" s="4"/>
      <c r="F250" s="4"/>
      <c r="G250" s="223"/>
      <c r="H250" s="215"/>
      <c r="K250" s="106"/>
    </row>
    <row r="251" spans="1:12" x14ac:dyDescent="0.25">
      <c r="A251" s="180">
        <v>230</v>
      </c>
      <c r="B251" t="s">
        <v>243</v>
      </c>
      <c r="C251" s="4"/>
      <c r="D251" s="4"/>
      <c r="E251" s="4"/>
      <c r="F251" s="4"/>
      <c r="G251" s="223"/>
      <c r="H251" s="215"/>
      <c r="K251" s="106"/>
    </row>
    <row r="252" spans="1:12" x14ac:dyDescent="0.25">
      <c r="A252" s="180">
        <v>231</v>
      </c>
      <c r="B252" t="s">
        <v>248</v>
      </c>
      <c r="C252" s="4"/>
      <c r="D252" s="4"/>
      <c r="E252" s="4"/>
      <c r="F252" s="4"/>
      <c r="G252" s="223"/>
      <c r="H252" s="215"/>
      <c r="K252" s="106"/>
    </row>
    <row r="253" spans="1:12" x14ac:dyDescent="0.25">
      <c r="A253" s="177">
        <v>232</v>
      </c>
      <c r="B253" t="s">
        <v>250</v>
      </c>
      <c r="C253" s="4"/>
      <c r="D253" s="4"/>
      <c r="E253" s="4"/>
      <c r="F253" s="4"/>
      <c r="G253" s="223"/>
      <c r="H253" s="215"/>
      <c r="K253" s="106"/>
    </row>
    <row r="254" spans="1:12" x14ac:dyDescent="0.25">
      <c r="A254" s="180">
        <v>233</v>
      </c>
      <c r="B254" t="s">
        <v>91</v>
      </c>
      <c r="C254" s="4"/>
      <c r="D254" s="4"/>
      <c r="E254" s="4"/>
      <c r="F254" s="4"/>
      <c r="G254" s="223"/>
      <c r="H254" s="215"/>
      <c r="K254" s="106"/>
    </row>
    <row r="255" spans="1:12" x14ac:dyDescent="0.25">
      <c r="A255" s="180">
        <v>234</v>
      </c>
      <c r="B255" t="s">
        <v>92</v>
      </c>
      <c r="C255" s="4"/>
      <c r="D255" s="4"/>
      <c r="E255" s="4"/>
      <c r="F255" s="4"/>
      <c r="G255" s="223"/>
      <c r="H255" s="215"/>
      <c r="K255" s="106"/>
    </row>
    <row r="256" spans="1:12" x14ac:dyDescent="0.25">
      <c r="A256" s="177">
        <v>235</v>
      </c>
      <c r="B256" t="s">
        <v>93</v>
      </c>
      <c r="C256" s="4"/>
      <c r="D256" s="4"/>
      <c r="E256" s="4"/>
      <c r="F256" s="4"/>
      <c r="G256" s="223"/>
      <c r="H256" s="215"/>
      <c r="K256" s="107"/>
    </row>
    <row r="257" spans="1:11" x14ac:dyDescent="0.25">
      <c r="A257" s="180">
        <v>236</v>
      </c>
      <c r="B257" t="s">
        <v>94</v>
      </c>
      <c r="C257" s="4"/>
      <c r="D257" s="4"/>
      <c r="E257" s="4"/>
      <c r="F257" s="4"/>
      <c r="G257" s="223"/>
      <c r="H257" s="215"/>
      <c r="K257" s="107"/>
    </row>
    <row r="258" spans="1:11" x14ac:dyDescent="0.25">
      <c r="A258" s="180">
        <v>237</v>
      </c>
      <c r="B258" t="s">
        <v>95</v>
      </c>
      <c r="C258" s="4"/>
      <c r="D258" s="4"/>
      <c r="E258" s="4"/>
      <c r="F258" s="4"/>
      <c r="G258" s="223"/>
      <c r="H258" s="215"/>
      <c r="K258" s="107"/>
    </row>
    <row r="259" spans="1:11" x14ac:dyDescent="0.25">
      <c r="A259" s="177">
        <v>238</v>
      </c>
      <c r="C259" s="4"/>
      <c r="D259" s="4"/>
      <c r="E259" s="4"/>
      <c r="F259" s="4"/>
      <c r="G259" s="143"/>
      <c r="H259" s="143"/>
      <c r="K259" s="148"/>
    </row>
    <row r="260" spans="1:11" x14ac:dyDescent="0.25">
      <c r="A260" s="180">
        <v>239</v>
      </c>
      <c r="B260" s="141" t="s">
        <v>90</v>
      </c>
      <c r="C260" s="143">
        <f>SUM(C232:C258)</f>
        <v>2520</v>
      </c>
      <c r="D260" s="143">
        <f>SUM(D232:D258)</f>
        <v>2520</v>
      </c>
      <c r="E260" s="143">
        <f>SUM(E232:E258)</f>
        <v>1280</v>
      </c>
      <c r="F260" s="143">
        <f>SUM(F232:F258)</f>
        <v>1080</v>
      </c>
      <c r="G260" s="223">
        <f>SUM(C260:F260)</f>
        <v>7400</v>
      </c>
      <c r="H260" s="223"/>
      <c r="J260" s="141" t="s">
        <v>132</v>
      </c>
      <c r="K260" s="4">
        <f>SUM(K232:K259)</f>
        <v>7400</v>
      </c>
    </row>
    <row r="261" spans="1:11" x14ac:dyDescent="0.25">
      <c r="A261" s="180">
        <v>240</v>
      </c>
    </row>
    <row r="262" spans="1:11" x14ac:dyDescent="0.25">
      <c r="A262" s="177">
        <v>241</v>
      </c>
      <c r="B262" s="8"/>
      <c r="C262" s="5"/>
      <c r="D262" s="5"/>
      <c r="E262" s="5"/>
      <c r="F262" s="8"/>
      <c r="G262" s="5"/>
      <c r="H262" s="1"/>
    </row>
    <row r="263" spans="1:11" x14ac:dyDescent="0.25">
      <c r="A263" s="180">
        <v>242</v>
      </c>
      <c r="B263" s="3" t="s">
        <v>104</v>
      </c>
      <c r="C263" s="36">
        <f>C60+C61+C62+C63+C64+C65</f>
        <v>12957.681</v>
      </c>
      <c r="D263" s="36">
        <f>D60+D61+D62+D63+D64+D65</f>
        <v>12957.681</v>
      </c>
      <c r="E263" s="36">
        <f>E60+E61+E62</f>
        <v>22788</v>
      </c>
      <c r="F263" s="123">
        <f>F65</f>
        <v>16480.800000000003</v>
      </c>
      <c r="G263" s="229">
        <f>SUM(C263:F263)</f>
        <v>65184.162000000004</v>
      </c>
      <c r="H263" s="230"/>
    </row>
    <row r="264" spans="1:11" x14ac:dyDescent="0.25">
      <c r="A264" s="180">
        <v>243</v>
      </c>
      <c r="B264" s="35" t="s">
        <v>96</v>
      </c>
      <c r="C264" s="34">
        <f>(C260+C196+C164+C132+C102+C72)-C263</f>
        <v>31397.996999999999</v>
      </c>
      <c r="D264" s="145">
        <f t="shared" ref="D264" si="72">(D260+D196+D164+D132+D102+D72)-D263</f>
        <v>31397.996999999999</v>
      </c>
      <c r="E264" s="145">
        <f>(E260+E227+E196+E164+E132+E102+E72)-E263</f>
        <v>142665.52299999999</v>
      </c>
      <c r="F264" s="145">
        <f>(F260+F227+F196+F164+F132+F102+F72)-F263</f>
        <v>102167.92300000001</v>
      </c>
      <c r="G264" s="231">
        <f>SUM(C264:F264)+SUM(C263:E263)</f>
        <v>356332.80200000003</v>
      </c>
      <c r="H264" s="232"/>
    </row>
    <row r="265" spans="1:11" x14ac:dyDescent="0.25">
      <c r="A265" s="1"/>
    </row>
  </sheetData>
  <sheetProtection selectLockedCells="1"/>
  <mergeCells count="228">
    <mergeCell ref="G122:H122"/>
    <mergeCell ref="G123:H123"/>
    <mergeCell ref="G112:H112"/>
    <mergeCell ref="G113:H113"/>
    <mergeCell ref="G114:H114"/>
    <mergeCell ref="G115:H115"/>
    <mergeCell ref="G116:H116"/>
    <mergeCell ref="G137:H137"/>
    <mergeCell ref="G225:H225"/>
    <mergeCell ref="G164:H164"/>
    <mergeCell ref="G145:H145"/>
    <mergeCell ref="G148:H148"/>
    <mergeCell ref="G149:H149"/>
    <mergeCell ref="G150:H150"/>
    <mergeCell ref="G151:H151"/>
    <mergeCell ref="A165:H165"/>
    <mergeCell ref="G152:H152"/>
    <mergeCell ref="G154:H154"/>
    <mergeCell ref="G155:H155"/>
    <mergeCell ref="G153:H153"/>
    <mergeCell ref="G206:H206"/>
    <mergeCell ref="G138:H138"/>
    <mergeCell ref="G156:H156"/>
    <mergeCell ref="A133:H133"/>
    <mergeCell ref="G77:H77"/>
    <mergeCell ref="G78:H78"/>
    <mergeCell ref="G80:H80"/>
    <mergeCell ref="G81:H81"/>
    <mergeCell ref="G75:H75"/>
    <mergeCell ref="G54:H54"/>
    <mergeCell ref="G56:H56"/>
    <mergeCell ref="G60:H60"/>
    <mergeCell ref="G59:H59"/>
    <mergeCell ref="G64:H64"/>
    <mergeCell ref="G65:H65"/>
    <mergeCell ref="G55:H55"/>
    <mergeCell ref="G76:H76"/>
    <mergeCell ref="E4:F4"/>
    <mergeCell ref="G4:H4"/>
    <mergeCell ref="F37:G37"/>
    <mergeCell ref="I4:J4"/>
    <mergeCell ref="K4:L4"/>
    <mergeCell ref="M2:P2"/>
    <mergeCell ref="M37:P37"/>
    <mergeCell ref="C2:D2"/>
    <mergeCell ref="C3:D3"/>
    <mergeCell ref="E2:H2"/>
    <mergeCell ref="I2:L2"/>
    <mergeCell ref="M4:N4"/>
    <mergeCell ref="O4:P4"/>
    <mergeCell ref="C36:D36"/>
    <mergeCell ref="J37:K37"/>
    <mergeCell ref="C37:D37"/>
    <mergeCell ref="A40:H40"/>
    <mergeCell ref="C38:D38"/>
    <mergeCell ref="G51:H51"/>
    <mergeCell ref="G52:H52"/>
    <mergeCell ref="G53:H53"/>
    <mergeCell ref="A74:H74"/>
    <mergeCell ref="G61:H61"/>
    <mergeCell ref="G62:H62"/>
    <mergeCell ref="G72:H72"/>
    <mergeCell ref="G58:H58"/>
    <mergeCell ref="G57:H57"/>
    <mergeCell ref="G43:H43"/>
    <mergeCell ref="G44:H44"/>
    <mergeCell ref="G42:H42"/>
    <mergeCell ref="G46:H46"/>
    <mergeCell ref="G45:H45"/>
    <mergeCell ref="G48:H48"/>
    <mergeCell ref="G47:H47"/>
    <mergeCell ref="G63:H63"/>
    <mergeCell ref="G49:H49"/>
    <mergeCell ref="G50:H50"/>
    <mergeCell ref="G106:H106"/>
    <mergeCell ref="G94:H94"/>
    <mergeCell ref="G105:H105"/>
    <mergeCell ref="G90:H90"/>
    <mergeCell ref="G91:H91"/>
    <mergeCell ref="A104:H104"/>
    <mergeCell ref="G101:H101"/>
    <mergeCell ref="G88:H88"/>
    <mergeCell ref="G121:H121"/>
    <mergeCell ref="G111:H111"/>
    <mergeCell ref="J69:L69"/>
    <mergeCell ref="K134:M134"/>
    <mergeCell ref="G73:H73"/>
    <mergeCell ref="G103:H103"/>
    <mergeCell ref="G124:H124"/>
    <mergeCell ref="G79:H79"/>
    <mergeCell ref="G102:H102"/>
    <mergeCell ref="G92:H92"/>
    <mergeCell ref="G93:H93"/>
    <mergeCell ref="G82:H82"/>
    <mergeCell ref="G83:H83"/>
    <mergeCell ref="G84:H84"/>
    <mergeCell ref="G85:H85"/>
    <mergeCell ref="G86:H86"/>
    <mergeCell ref="G119:H119"/>
    <mergeCell ref="G120:H120"/>
    <mergeCell ref="G107:H107"/>
    <mergeCell ref="G108:H108"/>
    <mergeCell ref="G110:H110"/>
    <mergeCell ref="G87:H87"/>
    <mergeCell ref="G89:H89"/>
    <mergeCell ref="G109:H109"/>
    <mergeCell ref="G95:H95"/>
    <mergeCell ref="G117:H117"/>
    <mergeCell ref="G214:H214"/>
    <mergeCell ref="G194:H194"/>
    <mergeCell ref="G193:H193"/>
    <mergeCell ref="G184:H184"/>
    <mergeCell ref="G226:H226"/>
    <mergeCell ref="G227:H227"/>
    <mergeCell ref="G217:H217"/>
    <mergeCell ref="A197:H197"/>
    <mergeCell ref="G139:H139"/>
    <mergeCell ref="G192:H192"/>
    <mergeCell ref="G191:H191"/>
    <mergeCell ref="G182:H182"/>
    <mergeCell ref="G157:H157"/>
    <mergeCell ref="G204:H204"/>
    <mergeCell ref="G205:H205"/>
    <mergeCell ref="G183:H183"/>
    <mergeCell ref="B198:C198"/>
    <mergeCell ref="G215:H215"/>
    <mergeCell ref="G216:H216"/>
    <mergeCell ref="G211:H211"/>
    <mergeCell ref="G178:H178"/>
    <mergeCell ref="G210:H210"/>
    <mergeCell ref="G140:H140"/>
    <mergeCell ref="G141:H141"/>
    <mergeCell ref="G134:H134"/>
    <mergeCell ref="G135:H135"/>
    <mergeCell ref="G136:H136"/>
    <mergeCell ref="G144:H144"/>
    <mergeCell ref="G263:H263"/>
    <mergeCell ref="G264:H264"/>
    <mergeCell ref="G166:H166"/>
    <mergeCell ref="G167:H167"/>
    <mergeCell ref="G168:H168"/>
    <mergeCell ref="G169:H169"/>
    <mergeCell ref="G171:H171"/>
    <mergeCell ref="G172:H172"/>
    <mergeCell ref="G173:H173"/>
    <mergeCell ref="G174:H174"/>
    <mergeCell ref="G175:H175"/>
    <mergeCell ref="G176:H176"/>
    <mergeCell ref="G177:H177"/>
    <mergeCell ref="G180:H180"/>
    <mergeCell ref="G181:H181"/>
    <mergeCell ref="G190:H190"/>
    <mergeCell ref="G196:H196"/>
    <mergeCell ref="G212:H212"/>
    <mergeCell ref="G213:H213"/>
    <mergeCell ref="G146:H146"/>
    <mergeCell ref="G142:H142"/>
    <mergeCell ref="G143:H143"/>
    <mergeCell ref="G207:H207"/>
    <mergeCell ref="G208:H208"/>
    <mergeCell ref="G209:H209"/>
    <mergeCell ref="G198:H198"/>
    <mergeCell ref="G199:H199"/>
    <mergeCell ref="G200:H200"/>
    <mergeCell ref="G202:H202"/>
    <mergeCell ref="G203:H203"/>
    <mergeCell ref="G147:H147"/>
    <mergeCell ref="G179:H179"/>
    <mergeCell ref="G253:H253"/>
    <mergeCell ref="G254:H254"/>
    <mergeCell ref="G255:H255"/>
    <mergeCell ref="G256:H256"/>
    <mergeCell ref="G257:H257"/>
    <mergeCell ref="G258:H258"/>
    <mergeCell ref="A1:S1"/>
    <mergeCell ref="G260:H260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34:H234"/>
    <mergeCell ref="G235:H235"/>
    <mergeCell ref="G236:H236"/>
    <mergeCell ref="G237:H237"/>
    <mergeCell ref="G238:H238"/>
    <mergeCell ref="G239:H239"/>
    <mergeCell ref="G240:H240"/>
    <mergeCell ref="K245:L245"/>
    <mergeCell ref="K246:L246"/>
    <mergeCell ref="K247:L247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G243:H243"/>
    <mergeCell ref="K243:L243"/>
    <mergeCell ref="G118:H118"/>
    <mergeCell ref="S2:S4"/>
    <mergeCell ref="K242:L242"/>
    <mergeCell ref="K244:L244"/>
    <mergeCell ref="R2:R4"/>
    <mergeCell ref="Q2:Q3"/>
    <mergeCell ref="G241:H241"/>
    <mergeCell ref="G242:H242"/>
    <mergeCell ref="G230:H230"/>
    <mergeCell ref="G232:H232"/>
    <mergeCell ref="G233:H233"/>
    <mergeCell ref="A228:H228"/>
    <mergeCell ref="G170:H170"/>
    <mergeCell ref="G218:H218"/>
    <mergeCell ref="G222:H222"/>
    <mergeCell ref="G223:H223"/>
    <mergeCell ref="G224:H224"/>
    <mergeCell ref="G186:H186"/>
    <mergeCell ref="G185:H185"/>
    <mergeCell ref="B229:H229"/>
    <mergeCell ref="G125:H125"/>
    <mergeCell ref="G132:H132"/>
  </mergeCells>
  <printOptions horizontalCentered="1" verticalCentered="1" headings="1"/>
  <pageMargins left="0" right="0" top="1" bottom="0.5" header="0.3" footer="0.75"/>
  <pageSetup scale="64" fitToHeight="0" orientation="landscape" r:id="rId1"/>
  <headerFooter>
    <oddHeader>&amp;C&amp;24Chester Public Utility District
FY 22-23&amp;RPage 3</oddHeader>
  </headerFooter>
  <ignoredErrors>
    <ignoredError sqref="C33" formulaRange="1"/>
    <ignoredError sqref="H5:H11 H17:H20 G117 E107 F57 E77 E168 H13:H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view="pageLayout" topLeftCell="A7" zoomScaleNormal="75" workbookViewId="0">
      <selection activeCell="A9" sqref="A9"/>
    </sheetView>
  </sheetViews>
  <sheetFormatPr defaultRowHeight="15.75" x14ac:dyDescent="0.25"/>
  <cols>
    <col min="1" max="1" width="5.625" style="1" customWidth="1"/>
    <col min="2" max="2" width="26.625" customWidth="1"/>
    <col min="3" max="3" width="15.625" customWidth="1"/>
    <col min="4" max="5" width="15.625" style="1" customWidth="1"/>
    <col min="6" max="7" width="15.625" customWidth="1"/>
    <col min="8" max="8" width="9.25" bestFit="1" customWidth="1"/>
    <col min="9" max="9" width="15.625" customWidth="1"/>
    <col min="10" max="11" width="10.125" bestFit="1" customWidth="1"/>
    <col min="12" max="12" width="11.125" bestFit="1" customWidth="1"/>
  </cols>
  <sheetData>
    <row r="1" spans="1:12" x14ac:dyDescent="0.25">
      <c r="A1" s="215" t="s">
        <v>283</v>
      </c>
      <c r="B1" s="215"/>
      <c r="C1" s="215"/>
      <c r="D1" s="215"/>
      <c r="E1" s="215"/>
      <c r="F1" s="215"/>
      <c r="G1" s="215"/>
      <c r="H1" s="215"/>
      <c r="I1" s="215"/>
    </row>
    <row r="2" spans="1:12" x14ac:dyDescent="0.25">
      <c r="A2"/>
      <c r="B2" s="1"/>
      <c r="D2"/>
      <c r="E2"/>
    </row>
    <row r="3" spans="1:12" x14ac:dyDescent="0.25">
      <c r="A3"/>
      <c r="B3" s="2" t="s">
        <v>106</v>
      </c>
      <c r="D3"/>
      <c r="E3"/>
    </row>
    <row r="4" spans="1:12" ht="31.5" x14ac:dyDescent="0.25">
      <c r="A4"/>
      <c r="B4" s="7" t="s">
        <v>67</v>
      </c>
      <c r="C4" s="7" t="s">
        <v>107</v>
      </c>
      <c r="D4" s="7" t="s">
        <v>108</v>
      </c>
      <c r="E4" s="7" t="s">
        <v>110</v>
      </c>
      <c r="F4" s="7" t="s">
        <v>240</v>
      </c>
      <c r="G4" s="7" t="s">
        <v>241</v>
      </c>
      <c r="H4" s="153" t="s">
        <v>264</v>
      </c>
      <c r="I4" s="7" t="s">
        <v>109</v>
      </c>
      <c r="J4" s="6"/>
      <c r="K4" s="6"/>
      <c r="L4" s="6"/>
    </row>
    <row r="5" spans="1:12" x14ac:dyDescent="0.25">
      <c r="A5" s="1">
        <v>1</v>
      </c>
      <c r="B5" t="s">
        <v>35</v>
      </c>
      <c r="C5" s="5">
        <f>Wages!M4</f>
        <v>0</v>
      </c>
      <c r="D5" s="164">
        <v>0</v>
      </c>
      <c r="E5" s="5">
        <f>C5*D5</f>
        <v>0</v>
      </c>
      <c r="F5" s="37">
        <v>0</v>
      </c>
      <c r="G5" s="5">
        <f>C5*F5/12</f>
        <v>0</v>
      </c>
      <c r="I5" s="5">
        <f>H5+E5</f>
        <v>0</v>
      </c>
      <c r="J5" s="5"/>
    </row>
    <row r="6" spans="1:12" x14ac:dyDescent="0.25">
      <c r="A6" s="1">
        <v>2</v>
      </c>
      <c r="B6" t="s">
        <v>40</v>
      </c>
      <c r="C6" s="5">
        <f>Wages!M5</f>
        <v>67849</v>
      </c>
      <c r="D6" s="37">
        <v>0.122</v>
      </c>
      <c r="E6" s="5">
        <f>C6*D6</f>
        <v>8277.5779999999995</v>
      </c>
      <c r="F6" s="37"/>
      <c r="G6" s="5"/>
      <c r="H6">
        <v>56480</v>
      </c>
      <c r="I6" s="149">
        <f t="shared" ref="I6:I23" si="0">H6+E6</f>
        <v>64757.578000000001</v>
      </c>
      <c r="J6" s="5"/>
    </row>
    <row r="7" spans="1:12" x14ac:dyDescent="0.25">
      <c r="A7" s="1">
        <v>3</v>
      </c>
      <c r="B7" t="s">
        <v>41</v>
      </c>
      <c r="C7" s="5">
        <f>Wages!M6</f>
        <v>39728</v>
      </c>
      <c r="D7" s="37">
        <v>7.732E-2</v>
      </c>
      <c r="E7" s="5">
        <f>C7*D7</f>
        <v>3071.7689599999999</v>
      </c>
      <c r="F7" s="37"/>
      <c r="G7" s="5"/>
      <c r="H7">
        <v>130</v>
      </c>
      <c r="I7" s="149">
        <f t="shared" si="0"/>
        <v>3201.7689599999999</v>
      </c>
      <c r="J7" s="5"/>
    </row>
    <row r="8" spans="1:12" x14ac:dyDescent="0.25">
      <c r="A8" s="1">
        <v>4</v>
      </c>
      <c r="C8" s="5"/>
      <c r="D8" s="37"/>
      <c r="E8" s="5"/>
      <c r="F8" s="37"/>
      <c r="G8" s="5"/>
      <c r="I8" s="149">
        <f t="shared" si="0"/>
        <v>0</v>
      </c>
      <c r="J8" s="5"/>
    </row>
    <row r="9" spans="1:12" x14ac:dyDescent="0.25">
      <c r="A9" s="1">
        <v>5</v>
      </c>
      <c r="B9" t="s">
        <v>42</v>
      </c>
      <c r="C9" s="5">
        <f>Wages!M8</f>
        <v>10000</v>
      </c>
      <c r="D9" s="37">
        <v>0</v>
      </c>
      <c r="E9" s="5">
        <f t="shared" ref="E9:E14" si="1">C9*D9</f>
        <v>0</v>
      </c>
      <c r="F9" s="37"/>
      <c r="G9" s="5"/>
      <c r="I9" s="149">
        <f t="shared" si="0"/>
        <v>0</v>
      </c>
      <c r="J9" s="5"/>
    </row>
    <row r="10" spans="1:12" x14ac:dyDescent="0.25">
      <c r="A10" s="1">
        <v>6</v>
      </c>
      <c r="B10" t="s">
        <v>43</v>
      </c>
      <c r="C10" s="5">
        <f>Wages!M9</f>
        <v>69388</v>
      </c>
      <c r="D10" s="37">
        <v>7.5899999999999995E-2</v>
      </c>
      <c r="E10" s="5">
        <f t="shared" si="1"/>
        <v>5266.5491999999995</v>
      </c>
      <c r="F10" s="37">
        <v>0</v>
      </c>
      <c r="G10" s="5">
        <f>C10*F10</f>
        <v>0</v>
      </c>
      <c r="H10">
        <v>130</v>
      </c>
      <c r="I10" s="149">
        <f t="shared" si="0"/>
        <v>5396.5491999999995</v>
      </c>
    </row>
    <row r="11" spans="1:12" x14ac:dyDescent="0.25">
      <c r="A11" s="1">
        <v>7</v>
      </c>
      <c r="B11" t="s">
        <v>44</v>
      </c>
      <c r="C11" s="5">
        <f>Wages!M10</f>
        <v>0</v>
      </c>
      <c r="D11" s="37">
        <v>0</v>
      </c>
      <c r="E11" s="5">
        <f t="shared" si="1"/>
        <v>0</v>
      </c>
      <c r="F11" s="37"/>
      <c r="G11" s="5"/>
      <c r="H11">
        <v>0</v>
      </c>
      <c r="I11" s="149">
        <f t="shared" si="0"/>
        <v>0</v>
      </c>
    </row>
    <row r="12" spans="1:12" x14ac:dyDescent="0.25">
      <c r="A12" s="1">
        <v>8</v>
      </c>
      <c r="B12" t="s">
        <v>45</v>
      </c>
      <c r="C12" s="5">
        <f>Wages!M11</f>
        <v>35349.599999999999</v>
      </c>
      <c r="D12" s="37">
        <v>7.5899999999999995E-2</v>
      </c>
      <c r="E12" s="5">
        <f t="shared" si="1"/>
        <v>2683.0346399999999</v>
      </c>
      <c r="F12" s="37"/>
      <c r="G12" s="5"/>
      <c r="H12">
        <v>130</v>
      </c>
      <c r="I12" s="149">
        <f t="shared" si="0"/>
        <v>2813.0346399999999</v>
      </c>
    </row>
    <row r="13" spans="1:12" x14ac:dyDescent="0.25">
      <c r="A13" s="1">
        <v>9</v>
      </c>
      <c r="B13" t="s">
        <v>45</v>
      </c>
      <c r="C13" s="5">
        <f>Wages!M12</f>
        <v>35263.800000000003</v>
      </c>
      <c r="D13" s="37">
        <v>7.5899999999999995E-2</v>
      </c>
      <c r="E13" s="5">
        <f t="shared" si="1"/>
        <v>2676.5224200000002</v>
      </c>
      <c r="F13" s="37"/>
      <c r="G13" s="5"/>
      <c r="H13">
        <v>130</v>
      </c>
      <c r="I13" s="149">
        <f t="shared" si="0"/>
        <v>2806.5224200000002</v>
      </c>
    </row>
    <row r="14" spans="1:12" x14ac:dyDescent="0.25">
      <c r="A14" s="1">
        <v>10</v>
      </c>
      <c r="B14" t="s">
        <v>39</v>
      </c>
      <c r="C14" s="5">
        <f>Wages!M13</f>
        <v>24000</v>
      </c>
      <c r="D14" s="37">
        <v>0</v>
      </c>
      <c r="E14" s="5">
        <f t="shared" si="1"/>
        <v>0</v>
      </c>
      <c r="F14" s="37"/>
      <c r="G14" s="5"/>
      <c r="I14" s="149">
        <f t="shared" si="0"/>
        <v>0</v>
      </c>
      <c r="J14" s="5"/>
    </row>
    <row r="15" spans="1:12" x14ac:dyDescent="0.25">
      <c r="A15" s="1">
        <v>11</v>
      </c>
      <c r="B15" t="s">
        <v>218</v>
      </c>
      <c r="C15" s="5">
        <f>Wages!M14</f>
        <v>105852</v>
      </c>
      <c r="D15" s="37">
        <v>0.23710000000000001</v>
      </c>
      <c r="E15" s="5">
        <f t="shared" ref="E15:E22" si="2">C15*D15</f>
        <v>25097.5092</v>
      </c>
      <c r="F15" s="37"/>
      <c r="G15" s="5"/>
      <c r="H15">
        <v>59519</v>
      </c>
      <c r="I15" s="149">
        <f t="shared" si="0"/>
        <v>84616.5092</v>
      </c>
      <c r="J15" s="223" t="s">
        <v>328</v>
      </c>
      <c r="K15" s="240"/>
      <c r="L15" s="240"/>
    </row>
    <row r="16" spans="1:12" x14ac:dyDescent="0.25">
      <c r="A16" s="1">
        <v>12</v>
      </c>
      <c r="B16" t="s">
        <v>215</v>
      </c>
      <c r="C16" s="5">
        <f>Wages!M15</f>
        <v>63188.1</v>
      </c>
      <c r="D16" s="37">
        <v>0.1313</v>
      </c>
      <c r="E16" s="5">
        <f t="shared" si="2"/>
        <v>8296.5975299999991</v>
      </c>
      <c r="F16" s="37"/>
      <c r="G16" s="5"/>
      <c r="H16">
        <v>489</v>
      </c>
      <c r="I16" s="149">
        <f t="shared" si="0"/>
        <v>8785.5975299999991</v>
      </c>
      <c r="J16" s="5"/>
    </row>
    <row r="17" spans="1:12" x14ac:dyDescent="0.25">
      <c r="A17" s="124">
        <v>13</v>
      </c>
      <c r="B17" t="s">
        <v>215</v>
      </c>
      <c r="C17" s="5">
        <f>Wages!M16</f>
        <v>56019</v>
      </c>
      <c r="D17" s="37">
        <v>0.1313</v>
      </c>
      <c r="E17" s="5">
        <f t="shared" si="2"/>
        <v>7355.2947000000004</v>
      </c>
      <c r="F17" s="37"/>
      <c r="G17" s="5"/>
      <c r="H17">
        <v>489</v>
      </c>
      <c r="I17" s="149">
        <f t="shared" si="0"/>
        <v>7844.2947000000004</v>
      </c>
      <c r="J17" s="5"/>
    </row>
    <row r="18" spans="1:12" x14ac:dyDescent="0.25">
      <c r="A18" s="177">
        <v>14</v>
      </c>
      <c r="B18" t="s">
        <v>215</v>
      </c>
      <c r="C18" s="179">
        <f>Wages!M17</f>
        <v>52633</v>
      </c>
      <c r="D18" s="37">
        <v>0.1313</v>
      </c>
      <c r="E18" s="179">
        <f t="shared" si="2"/>
        <v>6910.7129000000004</v>
      </c>
      <c r="F18" s="37"/>
      <c r="G18" s="179"/>
      <c r="H18">
        <v>489</v>
      </c>
      <c r="I18" s="179">
        <f t="shared" si="0"/>
        <v>7399.7129000000004</v>
      </c>
      <c r="J18" s="179"/>
    </row>
    <row r="19" spans="1:12" x14ac:dyDescent="0.25">
      <c r="A19" s="177">
        <v>15</v>
      </c>
      <c r="B19" t="s">
        <v>219</v>
      </c>
      <c r="C19" s="5">
        <f>Wages!M18</f>
        <v>95532.32</v>
      </c>
      <c r="D19" s="37">
        <v>0.23710000000000001</v>
      </c>
      <c r="E19" s="5">
        <f t="shared" si="2"/>
        <v>22650.713072000002</v>
      </c>
      <c r="F19" s="37"/>
      <c r="G19" s="5"/>
      <c r="H19">
        <v>59519</v>
      </c>
      <c r="I19" s="149">
        <f t="shared" si="0"/>
        <v>82169.713071999999</v>
      </c>
      <c r="J19" s="223" t="s">
        <v>328</v>
      </c>
      <c r="K19" s="240"/>
      <c r="L19" s="240"/>
    </row>
    <row r="20" spans="1:12" x14ac:dyDescent="0.25">
      <c r="A20" s="177">
        <v>16</v>
      </c>
      <c r="B20" t="s">
        <v>216</v>
      </c>
      <c r="C20" s="5">
        <f>Wages!M19</f>
        <v>73937.240000000005</v>
      </c>
      <c r="D20" s="37">
        <v>0.1313</v>
      </c>
      <c r="E20" s="5">
        <f t="shared" si="2"/>
        <v>9707.9596120000006</v>
      </c>
      <c r="F20" s="37"/>
      <c r="G20" s="5"/>
      <c r="H20">
        <v>489</v>
      </c>
      <c r="I20" s="149">
        <f t="shared" si="0"/>
        <v>10196.959612000001</v>
      </c>
      <c r="J20" s="5"/>
    </row>
    <row r="21" spans="1:12" x14ac:dyDescent="0.25">
      <c r="A21" s="177">
        <v>17</v>
      </c>
      <c r="B21" t="s">
        <v>216</v>
      </c>
      <c r="C21" s="5">
        <f>Wages!M20</f>
        <v>75047.070000000007</v>
      </c>
      <c r="D21" s="37">
        <v>0.1313</v>
      </c>
      <c r="E21" s="5">
        <f t="shared" si="2"/>
        <v>9853.6802910000006</v>
      </c>
      <c r="F21" s="37"/>
      <c r="G21" s="5"/>
      <c r="H21">
        <v>489</v>
      </c>
      <c r="I21" s="149">
        <f t="shared" si="0"/>
        <v>10342.680291000001</v>
      </c>
      <c r="J21" s="5"/>
    </row>
    <row r="22" spans="1:12" x14ac:dyDescent="0.25">
      <c r="A22" s="177">
        <v>18</v>
      </c>
      <c r="B22" t="s">
        <v>220</v>
      </c>
      <c r="C22" s="5">
        <f>Wages!M21</f>
        <v>0</v>
      </c>
      <c r="D22" s="37">
        <v>0</v>
      </c>
      <c r="E22" s="5">
        <f t="shared" si="2"/>
        <v>0</v>
      </c>
      <c r="F22" s="37"/>
      <c r="G22" s="5"/>
      <c r="H22">
        <v>0</v>
      </c>
      <c r="I22" s="149">
        <f t="shared" si="0"/>
        <v>0</v>
      </c>
      <c r="J22" s="5"/>
    </row>
    <row r="23" spans="1:12" x14ac:dyDescent="0.25">
      <c r="A23" s="177">
        <v>19</v>
      </c>
      <c r="I23">
        <f t="shared" si="0"/>
        <v>0</v>
      </c>
    </row>
    <row r="24" spans="1:12" x14ac:dyDescent="0.25">
      <c r="A24" s="177">
        <v>20</v>
      </c>
      <c r="B24" s="8" t="s">
        <v>119</v>
      </c>
      <c r="C24" s="5">
        <f>SUM(C5:C23)</f>
        <v>803787.13000000012</v>
      </c>
      <c r="D24" s="5"/>
      <c r="E24" s="5">
        <f>SUM(E5:E23)</f>
        <v>111847.92052499999</v>
      </c>
      <c r="F24" s="5"/>
      <c r="G24" s="5">
        <f>SUM(G5:G23)</f>
        <v>0</v>
      </c>
      <c r="J24" s="5"/>
    </row>
    <row r="25" spans="1:12" x14ac:dyDescent="0.25">
      <c r="A25" s="177">
        <v>21</v>
      </c>
      <c r="D25"/>
      <c r="E25"/>
    </row>
    <row r="26" spans="1:12" s="6" customFormat="1" x14ac:dyDescent="0.25">
      <c r="A26" s="177">
        <v>22</v>
      </c>
      <c r="B26" s="12" t="s">
        <v>112</v>
      </c>
      <c r="D26" s="7"/>
      <c r="E26" s="7"/>
      <c r="G26" s="214" t="s">
        <v>115</v>
      </c>
      <c r="H26" s="214"/>
      <c r="I26" s="5">
        <f>SUM(I5:I23)</f>
        <v>290330.92052499996</v>
      </c>
    </row>
    <row r="27" spans="1:12" x14ac:dyDescent="0.25">
      <c r="A27" s="177">
        <v>23</v>
      </c>
      <c r="B27" s="8" t="s">
        <v>116</v>
      </c>
      <c r="C27" s="5">
        <v>12000</v>
      </c>
      <c r="G27" s="214" t="s">
        <v>118</v>
      </c>
      <c r="H27" s="214"/>
      <c r="I27" s="5">
        <f>SUM(H5:H23)</f>
        <v>178483</v>
      </c>
    </row>
    <row r="28" spans="1:12" x14ac:dyDescent="0.25">
      <c r="A28" s="177">
        <v>24</v>
      </c>
      <c r="B28" s="8"/>
      <c r="C28" s="5"/>
    </row>
    <row r="29" spans="1:12" x14ac:dyDescent="0.25">
      <c r="A29" s="177">
        <v>25</v>
      </c>
      <c r="F29" s="215" t="s">
        <v>113</v>
      </c>
      <c r="G29" s="215"/>
      <c r="H29" s="1"/>
      <c r="I29" s="5">
        <f>SUM(I25:I28)</f>
        <v>468813.92052499996</v>
      </c>
    </row>
    <row r="30" spans="1:12" x14ac:dyDescent="0.25">
      <c r="A30" s="177">
        <v>26</v>
      </c>
    </row>
    <row r="31" spans="1:12" x14ac:dyDescent="0.25">
      <c r="A31" s="177">
        <v>27</v>
      </c>
      <c r="F31" s="1"/>
      <c r="G31" s="214" t="s">
        <v>212</v>
      </c>
      <c r="H31" s="214"/>
      <c r="I31" s="114">
        <v>0</v>
      </c>
    </row>
    <row r="32" spans="1:12" x14ac:dyDescent="0.25">
      <c r="A32" s="177">
        <v>28</v>
      </c>
      <c r="B32" s="215" t="s">
        <v>99</v>
      </c>
      <c r="C32" s="215"/>
      <c r="D32" s="215"/>
      <c r="E32" s="215"/>
      <c r="F32" s="215"/>
      <c r="G32" s="215"/>
      <c r="H32" s="215"/>
      <c r="I32" s="5"/>
    </row>
    <row r="33" spans="1:12" x14ac:dyDescent="0.25">
      <c r="A33" s="177">
        <v>29</v>
      </c>
      <c r="B33" s="1" t="s">
        <v>17</v>
      </c>
      <c r="C33" s="1" t="s">
        <v>36</v>
      </c>
      <c r="D33" s="1" t="s">
        <v>37</v>
      </c>
      <c r="E33" s="1" t="s">
        <v>38</v>
      </c>
      <c r="F33" s="121" t="s">
        <v>226</v>
      </c>
      <c r="G33" s="1" t="s">
        <v>98</v>
      </c>
    </row>
    <row r="34" spans="1:12" x14ac:dyDescent="0.25">
      <c r="A34" s="177">
        <v>30</v>
      </c>
      <c r="B34" t="s">
        <v>35</v>
      </c>
      <c r="C34" s="5">
        <f>I5*0.4</f>
        <v>0</v>
      </c>
      <c r="D34" s="5">
        <f>I5*0.4</f>
        <v>0</v>
      </c>
      <c r="E34" s="5">
        <f>I5*0.1</f>
        <v>0</v>
      </c>
      <c r="F34" s="122">
        <f>I5*0.1</f>
        <v>0</v>
      </c>
      <c r="G34" s="5">
        <f>SUM(C34:F34)</f>
        <v>0</v>
      </c>
    </row>
    <row r="35" spans="1:12" x14ac:dyDescent="0.25">
      <c r="A35" s="177">
        <v>31</v>
      </c>
      <c r="B35" t="s">
        <v>40</v>
      </c>
      <c r="C35" s="5">
        <f>I6*0.3</f>
        <v>19427.273399999998</v>
      </c>
      <c r="D35" s="5">
        <f>I6*0.3</f>
        <v>19427.273399999998</v>
      </c>
      <c r="E35" s="5">
        <f>I6*0.3</f>
        <v>19427.273399999998</v>
      </c>
      <c r="F35" s="122">
        <f>I6*0.1</f>
        <v>6475.7578000000003</v>
      </c>
      <c r="G35" s="5">
        <f>SUM(C35:F35)</f>
        <v>64757.577999999994</v>
      </c>
    </row>
    <row r="36" spans="1:12" x14ac:dyDescent="0.25">
      <c r="A36" s="177">
        <v>32</v>
      </c>
      <c r="B36" t="s">
        <v>41</v>
      </c>
      <c r="C36" s="122">
        <f>I7*0.3</f>
        <v>960.53068799999994</v>
      </c>
      <c r="D36" s="122">
        <f>I7*0.3</f>
        <v>960.53068799999994</v>
      </c>
      <c r="E36" s="122">
        <f>I7*0.1</f>
        <v>320.176896</v>
      </c>
      <c r="F36" s="122">
        <f>I7*0.3</f>
        <v>960.53068799999994</v>
      </c>
      <c r="G36" s="5">
        <f>SUM(C36:F36)</f>
        <v>3201.7689599999999</v>
      </c>
    </row>
    <row r="37" spans="1:12" x14ac:dyDescent="0.25">
      <c r="A37" s="177">
        <v>33</v>
      </c>
      <c r="C37" s="5"/>
      <c r="D37" s="5"/>
      <c r="E37" s="5"/>
      <c r="G37" s="5"/>
    </row>
    <row r="38" spans="1:12" x14ac:dyDescent="0.25">
      <c r="A38" s="177">
        <v>34</v>
      </c>
      <c r="B38" t="s">
        <v>42</v>
      </c>
      <c r="C38" s="5">
        <f>I9*0.15</f>
        <v>0</v>
      </c>
      <c r="D38" s="5">
        <f>I9*0.15</f>
        <v>0</v>
      </c>
      <c r="E38" s="5">
        <f>I9*0.5</f>
        <v>0</v>
      </c>
      <c r="F38" s="122">
        <f>I9*0.2</f>
        <v>0</v>
      </c>
      <c r="G38" s="5">
        <f>SUM(C38:F38)</f>
        <v>0</v>
      </c>
    </row>
    <row r="39" spans="1:12" x14ac:dyDescent="0.25">
      <c r="A39" s="177">
        <v>35</v>
      </c>
      <c r="B39" t="s">
        <v>43</v>
      </c>
      <c r="C39" s="5">
        <f>I10*0.5</f>
        <v>2698.2745999999997</v>
      </c>
      <c r="D39" s="5">
        <f>I10*0.5</f>
        <v>2698.2745999999997</v>
      </c>
      <c r="G39" s="5">
        <f t="shared" ref="G39" si="3">SUM(C39:E39)</f>
        <v>5396.5491999999995</v>
      </c>
    </row>
    <row r="40" spans="1:12" x14ac:dyDescent="0.25">
      <c r="A40" s="177">
        <v>36</v>
      </c>
      <c r="B40" t="s">
        <v>45</v>
      </c>
      <c r="C40" s="5">
        <f>I13*0.5</f>
        <v>1403.2612100000001</v>
      </c>
      <c r="D40" s="5">
        <f>I13*0.5</f>
        <v>1403.2612100000001</v>
      </c>
      <c r="G40" s="5">
        <f t="shared" ref="G40:G52" si="4">SUM(C40:E40)</f>
        <v>2806.5224200000002</v>
      </c>
    </row>
    <row r="41" spans="1:12" x14ac:dyDescent="0.25">
      <c r="A41" s="177">
        <v>37</v>
      </c>
      <c r="B41" t="s">
        <v>45</v>
      </c>
      <c r="C41" s="5">
        <f>I12*0.5</f>
        <v>1406.5173199999999</v>
      </c>
      <c r="D41" s="5">
        <f>I12*0.5</f>
        <v>1406.5173199999999</v>
      </c>
      <c r="G41" s="5">
        <f t="shared" si="4"/>
        <v>2813.0346399999999</v>
      </c>
    </row>
    <row r="42" spans="1:12" x14ac:dyDescent="0.25">
      <c r="A42" s="177">
        <v>38</v>
      </c>
      <c r="B42" t="s">
        <v>46</v>
      </c>
      <c r="G42" s="5">
        <f t="shared" si="4"/>
        <v>0</v>
      </c>
    </row>
    <row r="43" spans="1:12" x14ac:dyDescent="0.25">
      <c r="A43" s="177">
        <v>39</v>
      </c>
      <c r="B43" t="s">
        <v>39</v>
      </c>
      <c r="G43" s="5">
        <f t="shared" si="4"/>
        <v>0</v>
      </c>
      <c r="J43" s="5"/>
      <c r="K43" s="5"/>
      <c r="L43" s="5"/>
    </row>
    <row r="44" spans="1:12" x14ac:dyDescent="0.25">
      <c r="A44" s="177">
        <v>40</v>
      </c>
      <c r="B44" t="s">
        <v>218</v>
      </c>
      <c r="E44" s="5">
        <f>I15</f>
        <v>84616.5092</v>
      </c>
      <c r="G44" s="5">
        <f t="shared" si="4"/>
        <v>84616.5092</v>
      </c>
    </row>
    <row r="45" spans="1:12" x14ac:dyDescent="0.25">
      <c r="A45" s="177">
        <v>41</v>
      </c>
      <c r="B45" t="s">
        <v>215</v>
      </c>
      <c r="D45"/>
      <c r="E45" s="5">
        <f>I16</f>
        <v>8785.5975299999991</v>
      </c>
      <c r="G45" s="5">
        <f t="shared" si="4"/>
        <v>8785.5975299999991</v>
      </c>
      <c r="K45" s="5"/>
    </row>
    <row r="46" spans="1:12" x14ac:dyDescent="0.25">
      <c r="A46" s="177">
        <v>42</v>
      </c>
      <c r="B46" t="s">
        <v>215</v>
      </c>
      <c r="D46"/>
      <c r="E46" s="5">
        <f>I17</f>
        <v>7844.2947000000004</v>
      </c>
      <c r="G46" s="5">
        <f t="shared" ref="G46:G47" si="5">SUM(C46:E46)</f>
        <v>7844.2947000000004</v>
      </c>
      <c r="K46" s="5"/>
    </row>
    <row r="47" spans="1:12" x14ac:dyDescent="0.25">
      <c r="A47" s="187">
        <v>43</v>
      </c>
      <c r="B47" t="s">
        <v>215</v>
      </c>
      <c r="D47"/>
      <c r="E47" s="189">
        <f>I18</f>
        <v>7399.7129000000004</v>
      </c>
      <c r="G47" s="189">
        <f t="shared" si="5"/>
        <v>7399.7129000000004</v>
      </c>
      <c r="K47" s="189"/>
    </row>
    <row r="48" spans="1:12" x14ac:dyDescent="0.25">
      <c r="A48" s="187">
        <v>44</v>
      </c>
      <c r="B48" t="s">
        <v>219</v>
      </c>
      <c r="D48"/>
      <c r="F48" s="5">
        <f>I19</f>
        <v>82169.713071999999</v>
      </c>
      <c r="G48" s="5">
        <f>SUM(C48:F48)</f>
        <v>82169.713071999999</v>
      </c>
    </row>
    <row r="49" spans="1:9" x14ac:dyDescent="0.25">
      <c r="A49" s="187">
        <v>45</v>
      </c>
      <c r="B49" t="s">
        <v>216</v>
      </c>
      <c r="F49" s="131">
        <f>I20</f>
        <v>10196.959612000001</v>
      </c>
      <c r="G49" s="122">
        <f>SUM(C49:F49)</f>
        <v>10196.959612000001</v>
      </c>
    </row>
    <row r="50" spans="1:9" x14ac:dyDescent="0.25">
      <c r="A50" s="187">
        <v>46</v>
      </c>
      <c r="B50" t="s">
        <v>216</v>
      </c>
      <c r="F50" s="131">
        <f>I21</f>
        <v>10342.680291000001</v>
      </c>
      <c r="G50" s="122">
        <f>SUM(C50:F50)</f>
        <v>10342.680291000001</v>
      </c>
    </row>
    <row r="51" spans="1:9" x14ac:dyDescent="0.25">
      <c r="A51" s="187">
        <v>47</v>
      </c>
      <c r="B51" t="s">
        <v>220</v>
      </c>
      <c r="F51" s="131">
        <f>I22</f>
        <v>0</v>
      </c>
      <c r="G51" s="122">
        <f>SUM(C51:F51)</f>
        <v>0</v>
      </c>
    </row>
    <row r="52" spans="1:9" x14ac:dyDescent="0.25">
      <c r="A52" s="187">
        <v>48</v>
      </c>
      <c r="B52" t="s">
        <v>112</v>
      </c>
      <c r="C52" s="5">
        <v>0</v>
      </c>
      <c r="D52" s="5">
        <v>0</v>
      </c>
      <c r="E52" s="5">
        <v>0</v>
      </c>
      <c r="G52" s="5">
        <f t="shared" si="4"/>
        <v>0</v>
      </c>
    </row>
    <row r="53" spans="1:9" x14ac:dyDescent="0.25">
      <c r="A53" s="187">
        <v>49</v>
      </c>
    </row>
    <row r="54" spans="1:9" x14ac:dyDescent="0.25">
      <c r="A54" s="187">
        <v>50</v>
      </c>
      <c r="B54" s="8" t="s">
        <v>114</v>
      </c>
      <c r="C54" s="5">
        <f>SUM(C34:C53)</f>
        <v>25895.857217999997</v>
      </c>
      <c r="D54" s="5">
        <f>SUM(D34:D53)</f>
        <v>25895.857217999997</v>
      </c>
      <c r="E54" s="5">
        <f>SUM(E34:E53)</f>
        <v>128393.56462599999</v>
      </c>
      <c r="F54" s="122">
        <f>SUM(F34:F53)</f>
        <v>110145.64146300001</v>
      </c>
      <c r="G54" s="5">
        <f>SUM(G34:G53)</f>
        <v>290330.92052499996</v>
      </c>
      <c r="I54" s="4"/>
    </row>
  </sheetData>
  <sheetProtection selectLockedCells="1" selectUnlockedCells="1"/>
  <mergeCells count="8">
    <mergeCell ref="J15:L15"/>
    <mergeCell ref="J19:L19"/>
    <mergeCell ref="A1:I1"/>
    <mergeCell ref="F29:G29"/>
    <mergeCell ref="B32:H32"/>
    <mergeCell ref="G26:H26"/>
    <mergeCell ref="G27:H27"/>
    <mergeCell ref="G31:H31"/>
  </mergeCells>
  <printOptions horizontalCentered="1" headings="1"/>
  <pageMargins left="0" right="0" top="1.5" bottom="0" header="0.3" footer="0.3"/>
  <pageSetup scale="70" orientation="portrait" horizontalDpi="4294967293" verticalDpi="4294967293" r:id="rId1"/>
  <headerFooter>
    <oddHeader>&amp;C&amp;"Times New Roman,Bold"&amp;20Chester Public Utility District
FY 22-23 &amp;RPage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view="pageLayout" topLeftCell="A67" zoomScaleNormal="75" workbookViewId="0">
      <selection activeCell="G35" sqref="G35"/>
    </sheetView>
  </sheetViews>
  <sheetFormatPr defaultRowHeight="15.75" x14ac:dyDescent="0.25"/>
  <cols>
    <col min="1" max="1" width="5.625" style="1" customWidth="1"/>
    <col min="2" max="2" width="28.125" bestFit="1" customWidth="1"/>
    <col min="3" max="3" width="15.625" customWidth="1"/>
    <col min="4" max="5" width="15.625" style="1" customWidth="1"/>
    <col min="6" max="6" width="15.625" customWidth="1"/>
    <col min="7" max="7" width="9.25" customWidth="1"/>
    <col min="8" max="9" width="10.125" customWidth="1"/>
    <col min="10" max="10" width="11.125" customWidth="1"/>
  </cols>
  <sheetData>
    <row r="1" spans="1:10" x14ac:dyDescent="0.25">
      <c r="A1" s="215" t="s">
        <v>282</v>
      </c>
      <c r="B1" s="215"/>
      <c r="C1" s="215"/>
      <c r="D1" s="215"/>
      <c r="E1" s="215"/>
      <c r="F1" s="215"/>
    </row>
    <row r="2" spans="1:10" x14ac:dyDescent="0.25">
      <c r="A2"/>
      <c r="B2" s="1"/>
      <c r="D2"/>
      <c r="E2"/>
    </row>
    <row r="3" spans="1:10" x14ac:dyDescent="0.25">
      <c r="A3"/>
      <c r="B3" s="2" t="s">
        <v>124</v>
      </c>
      <c r="D3"/>
      <c r="E3"/>
    </row>
    <row r="4" spans="1:10" ht="31.5" x14ac:dyDescent="0.25">
      <c r="A4"/>
      <c r="B4" s="7" t="s">
        <v>67</v>
      </c>
      <c r="C4" s="7" t="s">
        <v>107</v>
      </c>
      <c r="D4" s="7" t="s">
        <v>263</v>
      </c>
      <c r="E4" s="7" t="s">
        <v>127</v>
      </c>
      <c r="F4" s="7" t="s">
        <v>130</v>
      </c>
      <c r="G4" s="7"/>
      <c r="H4" s="6"/>
      <c r="I4" s="6"/>
      <c r="J4" s="6"/>
    </row>
    <row r="5" spans="1:10" x14ac:dyDescent="0.25">
      <c r="A5" s="1">
        <v>1</v>
      </c>
      <c r="B5" t="s">
        <v>35</v>
      </c>
      <c r="C5" s="5">
        <f>Wages!M4</f>
        <v>0</v>
      </c>
      <c r="D5" s="164">
        <v>3.2000000000000003E-4</v>
      </c>
      <c r="E5" s="5">
        <f>C5*D5</f>
        <v>0</v>
      </c>
      <c r="F5" s="5">
        <f>E5*4</f>
        <v>0</v>
      </c>
      <c r="G5" s="5"/>
      <c r="H5" s="5"/>
    </row>
    <row r="6" spans="1:10" x14ac:dyDescent="0.25">
      <c r="A6" s="1">
        <v>2</v>
      </c>
      <c r="B6" t="s">
        <v>40</v>
      </c>
      <c r="C6" s="5">
        <f>Wages!M5</f>
        <v>67849</v>
      </c>
      <c r="D6" s="164">
        <v>3.2000000000000003E-4</v>
      </c>
      <c r="E6" s="5">
        <f t="shared" ref="E6:E26" si="0">C6*D6</f>
        <v>21.711680000000001</v>
      </c>
      <c r="F6" s="5">
        <f t="shared" ref="F6:F26" si="1">E6*4</f>
        <v>86.846720000000005</v>
      </c>
      <c r="G6" s="5"/>
      <c r="H6" s="5"/>
    </row>
    <row r="7" spans="1:10" x14ac:dyDescent="0.25">
      <c r="A7" s="1">
        <v>3</v>
      </c>
      <c r="B7" t="s">
        <v>41</v>
      </c>
      <c r="C7" s="5">
        <f>Wages!M6</f>
        <v>39728</v>
      </c>
      <c r="D7" s="164">
        <v>3.2000000000000003E-4</v>
      </c>
      <c r="E7" s="5">
        <f t="shared" si="0"/>
        <v>12.712960000000001</v>
      </c>
      <c r="F7" s="5">
        <f t="shared" si="1"/>
        <v>50.851840000000003</v>
      </c>
      <c r="G7" s="5"/>
      <c r="H7" s="5"/>
    </row>
    <row r="8" spans="1:10" x14ac:dyDescent="0.25">
      <c r="A8" s="1">
        <v>4</v>
      </c>
      <c r="C8" s="5"/>
      <c r="D8" s="164"/>
      <c r="E8" s="5"/>
      <c r="F8" s="5"/>
      <c r="G8" s="5"/>
      <c r="H8" s="5"/>
    </row>
    <row r="9" spans="1:10" x14ac:dyDescent="0.25">
      <c r="A9" s="1">
        <v>5</v>
      </c>
      <c r="B9" t="s">
        <v>42</v>
      </c>
      <c r="C9" s="5">
        <f>Wages!M8</f>
        <v>10000</v>
      </c>
      <c r="D9" s="164">
        <v>0</v>
      </c>
      <c r="E9" s="5">
        <f t="shared" si="0"/>
        <v>0</v>
      </c>
      <c r="F9" s="5">
        <f t="shared" si="1"/>
        <v>0</v>
      </c>
      <c r="G9" s="5"/>
      <c r="H9" s="5"/>
    </row>
    <row r="10" spans="1:10" x14ac:dyDescent="0.25">
      <c r="A10" s="1">
        <v>6</v>
      </c>
      <c r="B10" t="s">
        <v>43</v>
      </c>
      <c r="C10" s="5">
        <f>Wages!M9</f>
        <v>69388</v>
      </c>
      <c r="D10" s="164">
        <v>4.1200000000000001E-2</v>
      </c>
      <c r="E10" s="5">
        <f t="shared" si="0"/>
        <v>2858.7856000000002</v>
      </c>
      <c r="F10" s="5">
        <f t="shared" si="1"/>
        <v>11435.142400000001</v>
      </c>
      <c r="G10" s="5"/>
    </row>
    <row r="11" spans="1:10" x14ac:dyDescent="0.25">
      <c r="A11" s="1">
        <v>7</v>
      </c>
      <c r="B11" t="s">
        <v>44</v>
      </c>
      <c r="C11" s="5">
        <f>Wages!M10</f>
        <v>0</v>
      </c>
      <c r="D11" s="164">
        <v>4.1200000000000001E-2</v>
      </c>
      <c r="E11" s="155">
        <f t="shared" si="0"/>
        <v>0</v>
      </c>
      <c r="F11" s="5">
        <f t="shared" si="1"/>
        <v>0</v>
      </c>
      <c r="G11" s="5"/>
    </row>
    <row r="12" spans="1:10" x14ac:dyDescent="0.25">
      <c r="A12" s="1">
        <v>8</v>
      </c>
      <c r="B12" t="s">
        <v>45</v>
      </c>
      <c r="C12" s="5">
        <f>Wages!M11</f>
        <v>35349.599999999999</v>
      </c>
      <c r="D12" s="164">
        <v>4.1200000000000001E-2</v>
      </c>
      <c r="E12" s="5">
        <f>C12*D12</f>
        <v>1456.4035200000001</v>
      </c>
      <c r="F12" s="5">
        <f t="shared" si="1"/>
        <v>5825.6140800000003</v>
      </c>
      <c r="G12" s="5"/>
    </row>
    <row r="13" spans="1:10" x14ac:dyDescent="0.25">
      <c r="A13" s="1">
        <v>9</v>
      </c>
      <c r="B13" t="s">
        <v>45</v>
      </c>
      <c r="C13" s="5">
        <f>Wages!M12</f>
        <v>35263.800000000003</v>
      </c>
      <c r="D13" s="164">
        <v>4.1200000000000001E-2</v>
      </c>
      <c r="E13" s="5">
        <f t="shared" ref="E13:E14" si="2">C13*D13</f>
        <v>1452.8685600000001</v>
      </c>
      <c r="F13" s="5">
        <f t="shared" si="1"/>
        <v>5811.4742400000005</v>
      </c>
      <c r="G13" s="5"/>
    </row>
    <row r="14" spans="1:10" x14ac:dyDescent="0.25">
      <c r="A14" s="1">
        <v>10</v>
      </c>
      <c r="B14" t="s">
        <v>39</v>
      </c>
      <c r="C14" s="5">
        <f>Wages!M13</f>
        <v>24000</v>
      </c>
      <c r="D14" s="164">
        <v>6.8400000000000002E-2</v>
      </c>
      <c r="E14" s="5">
        <f t="shared" si="2"/>
        <v>1641.6000000000001</v>
      </c>
      <c r="F14" s="5">
        <f t="shared" si="1"/>
        <v>6566.4000000000005</v>
      </c>
      <c r="G14" s="5"/>
      <c r="H14" s="5"/>
    </row>
    <row r="15" spans="1:10" x14ac:dyDescent="0.25">
      <c r="A15" s="1">
        <v>11</v>
      </c>
      <c r="B15" t="s">
        <v>218</v>
      </c>
      <c r="C15" s="5">
        <f>Wages!M14</f>
        <v>105852</v>
      </c>
      <c r="D15" s="164">
        <v>6.8400000000000002E-2</v>
      </c>
      <c r="E15" s="5">
        <f t="shared" si="0"/>
        <v>7240.2768000000005</v>
      </c>
      <c r="F15" s="5">
        <f t="shared" si="1"/>
        <v>28961.107200000002</v>
      </c>
      <c r="G15" s="5"/>
      <c r="H15" s="5"/>
    </row>
    <row r="16" spans="1:10" x14ac:dyDescent="0.25">
      <c r="A16" s="1">
        <v>12</v>
      </c>
      <c r="B16" t="s">
        <v>215</v>
      </c>
      <c r="C16" s="5">
        <f>Wages!M15</f>
        <v>63188.1</v>
      </c>
      <c r="D16" s="164">
        <v>6.8400000000000002E-2</v>
      </c>
      <c r="E16" s="5">
        <f t="shared" si="0"/>
        <v>4322.0660399999997</v>
      </c>
      <c r="F16" s="5">
        <f t="shared" si="1"/>
        <v>17288.264159999999</v>
      </c>
      <c r="G16" s="5"/>
      <c r="H16" s="5"/>
    </row>
    <row r="17" spans="1:8" x14ac:dyDescent="0.25">
      <c r="A17" s="124">
        <v>13</v>
      </c>
      <c r="B17" t="s">
        <v>215</v>
      </c>
      <c r="C17" s="5">
        <f>Wages!M16</f>
        <v>56019</v>
      </c>
      <c r="D17" s="164">
        <v>6.8400000000000002E-2</v>
      </c>
      <c r="E17" s="5">
        <f t="shared" ref="E17:E18" si="3">C17*D17</f>
        <v>3831.6995999999999</v>
      </c>
      <c r="F17" s="5">
        <f t="shared" ref="F17:F18" si="4">E17*4</f>
        <v>15326.7984</v>
      </c>
      <c r="G17" s="5"/>
      <c r="H17" s="5"/>
    </row>
    <row r="18" spans="1:8" x14ac:dyDescent="0.25">
      <c r="A18" s="177">
        <v>14</v>
      </c>
      <c r="B18" t="s">
        <v>215</v>
      </c>
      <c r="C18" s="179">
        <f>Wages!M17</f>
        <v>52633</v>
      </c>
      <c r="D18" s="164">
        <v>6.8400000000000002E-2</v>
      </c>
      <c r="E18" s="179">
        <f t="shared" si="3"/>
        <v>3600.0972000000002</v>
      </c>
      <c r="F18" s="179">
        <f t="shared" si="4"/>
        <v>14400.388800000001</v>
      </c>
      <c r="G18" s="179"/>
      <c r="H18" s="179"/>
    </row>
    <row r="19" spans="1:8" x14ac:dyDescent="0.25">
      <c r="A19" s="177">
        <v>15</v>
      </c>
      <c r="B19" t="s">
        <v>219</v>
      </c>
      <c r="C19" s="5">
        <f>Wages!M18</f>
        <v>95532.32</v>
      </c>
      <c r="D19" s="164">
        <v>6.8400000000000002E-2</v>
      </c>
      <c r="E19" s="5">
        <f t="shared" si="0"/>
        <v>6534.4106880000008</v>
      </c>
      <c r="F19" s="5">
        <f t="shared" si="1"/>
        <v>26137.642752000003</v>
      </c>
      <c r="G19" s="5"/>
      <c r="H19" s="5"/>
    </row>
    <row r="20" spans="1:8" x14ac:dyDescent="0.25">
      <c r="A20" s="177">
        <v>16</v>
      </c>
      <c r="B20" t="s">
        <v>216</v>
      </c>
      <c r="C20" s="5">
        <f>Wages!M19</f>
        <v>73937.240000000005</v>
      </c>
      <c r="D20" s="164">
        <v>6.8400000000000002E-2</v>
      </c>
      <c r="E20" s="5">
        <f t="shared" si="0"/>
        <v>5057.3072160000002</v>
      </c>
      <c r="F20" s="5">
        <f t="shared" si="1"/>
        <v>20229.228864000001</v>
      </c>
      <c r="G20" s="5"/>
      <c r="H20" s="5"/>
    </row>
    <row r="21" spans="1:8" x14ac:dyDescent="0.25">
      <c r="A21" s="177">
        <v>17</v>
      </c>
      <c r="B21" t="s">
        <v>216</v>
      </c>
      <c r="C21" s="5">
        <f>Wages!M20</f>
        <v>75047.070000000007</v>
      </c>
      <c r="D21" s="164">
        <v>6.8400000000000002E-2</v>
      </c>
      <c r="E21" s="5">
        <f t="shared" si="0"/>
        <v>5133.2195880000008</v>
      </c>
      <c r="F21" s="5">
        <f t="shared" si="1"/>
        <v>20532.878352000003</v>
      </c>
      <c r="G21" s="5"/>
      <c r="H21" s="5"/>
    </row>
    <row r="22" spans="1:8" x14ac:dyDescent="0.25">
      <c r="A22" s="177">
        <v>18</v>
      </c>
      <c r="B22" t="s">
        <v>220</v>
      </c>
      <c r="C22" s="5">
        <f>Wages!M21</f>
        <v>0</v>
      </c>
      <c r="D22" s="164">
        <v>6.8400000000000002E-2</v>
      </c>
      <c r="E22" s="5">
        <f t="shared" si="0"/>
        <v>0</v>
      </c>
      <c r="F22" s="5">
        <f t="shared" si="1"/>
        <v>0</v>
      </c>
      <c r="G22" s="5"/>
      <c r="H22" s="5"/>
    </row>
    <row r="23" spans="1:8" x14ac:dyDescent="0.25">
      <c r="A23" s="177">
        <v>19</v>
      </c>
      <c r="B23" t="s">
        <v>125</v>
      </c>
      <c r="C23" s="5">
        <v>20000</v>
      </c>
      <c r="D23" s="164">
        <v>6.8400000000000002E-2</v>
      </c>
      <c r="E23" s="5">
        <f t="shared" si="0"/>
        <v>1368</v>
      </c>
      <c r="F23" s="5">
        <f t="shared" si="1"/>
        <v>5472</v>
      </c>
      <c r="G23" s="5"/>
      <c r="H23" s="5"/>
    </row>
    <row r="24" spans="1:8" x14ac:dyDescent="0.25">
      <c r="A24" s="177">
        <v>20</v>
      </c>
      <c r="B24" t="s">
        <v>126</v>
      </c>
      <c r="C24" s="5">
        <v>5000</v>
      </c>
      <c r="D24" s="164">
        <v>3.2000000000000003E-4</v>
      </c>
      <c r="E24" s="5">
        <f t="shared" si="0"/>
        <v>1.6</v>
      </c>
      <c r="F24" s="5">
        <f t="shared" si="1"/>
        <v>6.4</v>
      </c>
      <c r="G24" s="5"/>
      <c r="H24" s="5"/>
    </row>
    <row r="25" spans="1:8" x14ac:dyDescent="0.25">
      <c r="A25" s="177">
        <v>21</v>
      </c>
      <c r="B25" t="s">
        <v>237</v>
      </c>
      <c r="C25" s="42" t="s">
        <v>238</v>
      </c>
      <c r="D25" s="37"/>
      <c r="E25" s="5"/>
      <c r="F25" s="5"/>
      <c r="G25" s="5"/>
      <c r="H25" s="5"/>
    </row>
    <row r="26" spans="1:8" x14ac:dyDescent="0.25">
      <c r="A26" s="177">
        <v>22</v>
      </c>
      <c r="B26" t="s">
        <v>266</v>
      </c>
      <c r="C26" s="4">
        <f>Wages!E39</f>
        <v>13680</v>
      </c>
      <c r="D26" s="37">
        <v>6.8400000000000002E-2</v>
      </c>
      <c r="E26" s="155">
        <f t="shared" si="0"/>
        <v>935.71199999999999</v>
      </c>
      <c r="F26" s="4">
        <f t="shared" si="1"/>
        <v>3742.848</v>
      </c>
    </row>
    <row r="27" spans="1:8" x14ac:dyDescent="0.25">
      <c r="A27" s="177">
        <v>23</v>
      </c>
      <c r="B27" s="8" t="s">
        <v>119</v>
      </c>
      <c r="C27" s="5">
        <f>SUM(C5:C24)</f>
        <v>828787.13000000012</v>
      </c>
      <c r="D27" s="5" t="s">
        <v>129</v>
      </c>
      <c r="E27" s="5">
        <f>SUM(E5:E24)</f>
        <v>44532.759451999998</v>
      </c>
      <c r="F27" s="5"/>
      <c r="H27" s="5"/>
    </row>
    <row r="28" spans="1:8" x14ac:dyDescent="0.25">
      <c r="A28" s="177">
        <v>24</v>
      </c>
      <c r="B28" s="8"/>
      <c r="C28" s="5"/>
      <c r="D28" s="5"/>
      <c r="E28" s="5" t="s">
        <v>128</v>
      </c>
      <c r="F28" s="5">
        <f>SUM(F5:F26)</f>
        <v>181873.88580799999</v>
      </c>
      <c r="H28" s="5"/>
    </row>
    <row r="29" spans="1:8" x14ac:dyDescent="0.25">
      <c r="A29" s="177">
        <v>25</v>
      </c>
      <c r="F29" s="1"/>
      <c r="G29" s="1"/>
    </row>
    <row r="30" spans="1:8" x14ac:dyDescent="0.25">
      <c r="A30" s="39"/>
      <c r="B30" s="17"/>
      <c r="C30" s="17"/>
      <c r="D30" s="17"/>
      <c r="E30" s="17"/>
      <c r="F30" s="17"/>
      <c r="G30" s="1"/>
    </row>
    <row r="31" spans="1:8" x14ac:dyDescent="0.25">
      <c r="F31" s="1"/>
      <c r="G31" s="1"/>
    </row>
    <row r="32" spans="1:8" x14ac:dyDescent="0.25">
      <c r="B32" s="215" t="s">
        <v>99</v>
      </c>
      <c r="C32" s="215"/>
      <c r="D32" s="215"/>
      <c r="E32" s="215"/>
      <c r="F32" s="215"/>
    </row>
    <row r="33" spans="1:10" x14ac:dyDescent="0.25">
      <c r="A33" s="1">
        <v>26</v>
      </c>
      <c r="C33" s="1" t="s">
        <v>36</v>
      </c>
      <c r="D33" s="1" t="s">
        <v>37</v>
      </c>
      <c r="E33" s="1" t="s">
        <v>38</v>
      </c>
      <c r="F33" s="121" t="s">
        <v>226</v>
      </c>
      <c r="G33" s="1" t="s">
        <v>98</v>
      </c>
    </row>
    <row r="34" spans="1:10" x14ac:dyDescent="0.25">
      <c r="A34" s="124">
        <v>27</v>
      </c>
      <c r="B34" t="s">
        <v>35</v>
      </c>
      <c r="C34" s="5">
        <f>F5*0.4</f>
        <v>0</v>
      </c>
      <c r="D34" s="5">
        <f>F5*0.4</f>
        <v>0</v>
      </c>
      <c r="E34" s="5">
        <f>F5*0.1</f>
        <v>0</v>
      </c>
      <c r="F34" s="122">
        <f>F5*0.1</f>
        <v>0</v>
      </c>
      <c r="G34" s="5">
        <f>SUM(C34:F34)</f>
        <v>0</v>
      </c>
    </row>
    <row r="35" spans="1:10" x14ac:dyDescent="0.25">
      <c r="A35" s="124">
        <v>28</v>
      </c>
      <c r="B35" t="s">
        <v>40</v>
      </c>
      <c r="C35" s="5">
        <f>F6*0.31</f>
        <v>26.922483200000002</v>
      </c>
      <c r="D35" s="5">
        <f>F6*0.31</f>
        <v>26.922483200000002</v>
      </c>
      <c r="E35" s="5">
        <f>F6*0.31</f>
        <v>26.922483200000002</v>
      </c>
      <c r="F35" s="122">
        <f>F6*0.075</f>
        <v>6.5135040000000002</v>
      </c>
      <c r="G35" s="189">
        <f>SUM(C35:F35)</f>
        <v>87.280953600000004</v>
      </c>
    </row>
    <row r="36" spans="1:10" x14ac:dyDescent="0.25">
      <c r="A36" s="124">
        <v>29</v>
      </c>
      <c r="B36" t="s">
        <v>41</v>
      </c>
      <c r="C36" s="5">
        <f>F7*0.33</f>
        <v>16.781107200000001</v>
      </c>
      <c r="D36" s="5">
        <f>F7*0.33</f>
        <v>16.781107200000001</v>
      </c>
      <c r="E36" s="5">
        <f>F7*0.1</f>
        <v>5.0851840000000008</v>
      </c>
      <c r="F36" s="122">
        <f>F7*0.24</f>
        <v>12.204441600000001</v>
      </c>
      <c r="G36" s="5">
        <f>SUM(C36:F36)</f>
        <v>50.851840000000003</v>
      </c>
    </row>
    <row r="37" spans="1:10" x14ac:dyDescent="0.25">
      <c r="A37" s="124">
        <v>30</v>
      </c>
      <c r="C37" s="5"/>
      <c r="D37" s="5"/>
      <c r="E37" s="5"/>
      <c r="F37" s="122"/>
      <c r="G37" s="5"/>
    </row>
    <row r="38" spans="1:10" x14ac:dyDescent="0.25">
      <c r="A38" s="124">
        <v>31</v>
      </c>
      <c r="B38" t="s">
        <v>42</v>
      </c>
      <c r="C38" s="5">
        <f>F9*0.15</f>
        <v>0</v>
      </c>
      <c r="D38" s="5">
        <f>F9*0.15</f>
        <v>0</v>
      </c>
      <c r="E38" s="5">
        <f>F9*0.7</f>
        <v>0</v>
      </c>
      <c r="F38" s="122"/>
      <c r="G38" s="5">
        <f t="shared" ref="G38:G45" si="5">SUM(C38:E38)</f>
        <v>0</v>
      </c>
    </row>
    <row r="39" spans="1:10" x14ac:dyDescent="0.25">
      <c r="A39" s="124">
        <v>32</v>
      </c>
      <c r="B39" t="s">
        <v>43</v>
      </c>
      <c r="C39" s="5">
        <f>F10*0.5</f>
        <v>5717.5712000000003</v>
      </c>
      <c r="D39" s="5">
        <f>F10*0.5</f>
        <v>5717.5712000000003</v>
      </c>
      <c r="F39" s="121"/>
      <c r="G39" s="5">
        <f t="shared" si="5"/>
        <v>11435.142400000001</v>
      </c>
    </row>
    <row r="40" spans="1:10" x14ac:dyDescent="0.25">
      <c r="A40" s="124">
        <v>33</v>
      </c>
      <c r="B40" t="s">
        <v>44</v>
      </c>
      <c r="C40" s="5">
        <f>F11*0.5</f>
        <v>0</v>
      </c>
      <c r="D40" s="5">
        <f>F11*0.5</f>
        <v>0</v>
      </c>
      <c r="F40" s="121"/>
      <c r="G40" s="5">
        <f t="shared" si="5"/>
        <v>0</v>
      </c>
    </row>
    <row r="41" spans="1:10" x14ac:dyDescent="0.25">
      <c r="A41" s="124">
        <v>34</v>
      </c>
      <c r="B41" t="s">
        <v>45</v>
      </c>
      <c r="C41" s="5">
        <f>F12*0.5</f>
        <v>2912.8070400000001</v>
      </c>
      <c r="D41" s="5">
        <f>F12*0.5</f>
        <v>2912.8070400000001</v>
      </c>
      <c r="F41" s="121"/>
      <c r="G41" s="5">
        <f t="shared" si="5"/>
        <v>5825.6140800000003</v>
      </c>
    </row>
    <row r="42" spans="1:10" x14ac:dyDescent="0.25">
      <c r="A42" s="124">
        <v>35</v>
      </c>
      <c r="B42" t="s">
        <v>45</v>
      </c>
      <c r="C42" s="5">
        <f t="shared" ref="C42" si="6">F13*0.5</f>
        <v>2905.7371200000002</v>
      </c>
      <c r="D42" s="5">
        <f t="shared" ref="D42" si="7">F13*0.5</f>
        <v>2905.7371200000002</v>
      </c>
      <c r="F42" s="121"/>
      <c r="G42" s="5">
        <f t="shared" si="5"/>
        <v>5811.4742400000005</v>
      </c>
    </row>
    <row r="43" spans="1:10" x14ac:dyDescent="0.25">
      <c r="A43" s="124">
        <v>36</v>
      </c>
      <c r="B43" t="s">
        <v>39</v>
      </c>
      <c r="E43" s="5">
        <f>F14</f>
        <v>6566.4000000000005</v>
      </c>
      <c r="F43" s="122"/>
      <c r="G43" s="5">
        <f t="shared" si="5"/>
        <v>6566.4000000000005</v>
      </c>
      <c r="I43" s="5"/>
      <c r="J43" s="5"/>
    </row>
    <row r="44" spans="1:10" x14ac:dyDescent="0.25">
      <c r="A44" s="124">
        <v>37</v>
      </c>
      <c r="B44" t="s">
        <v>218</v>
      </c>
      <c r="E44" s="5">
        <f>F15</f>
        <v>28961.107200000002</v>
      </c>
      <c r="F44" s="122"/>
      <c r="G44" s="5">
        <f t="shared" si="5"/>
        <v>28961.107200000002</v>
      </c>
    </row>
    <row r="45" spans="1:10" x14ac:dyDescent="0.25">
      <c r="A45" s="124">
        <v>38</v>
      </c>
      <c r="B45" t="s">
        <v>215</v>
      </c>
      <c r="D45"/>
      <c r="E45" s="5">
        <f>F16</f>
        <v>17288.264159999999</v>
      </c>
      <c r="F45" s="122"/>
      <c r="G45" s="5">
        <f t="shared" si="5"/>
        <v>17288.264159999999</v>
      </c>
      <c r="I45" s="5"/>
    </row>
    <row r="46" spans="1:10" x14ac:dyDescent="0.25">
      <c r="A46" s="124">
        <v>39</v>
      </c>
      <c r="B46" t="s">
        <v>215</v>
      </c>
      <c r="D46"/>
      <c r="E46" s="5">
        <f>F17</f>
        <v>15326.7984</v>
      </c>
      <c r="F46" s="122"/>
      <c r="G46" s="5">
        <f t="shared" ref="G46:G47" si="8">SUM(C46:E46)</f>
        <v>15326.7984</v>
      </c>
      <c r="I46" s="5"/>
    </row>
    <row r="47" spans="1:10" x14ac:dyDescent="0.25">
      <c r="A47" s="177">
        <v>40</v>
      </c>
      <c r="B47" t="s">
        <v>215</v>
      </c>
      <c r="D47"/>
      <c r="E47" s="179">
        <f>F18</f>
        <v>14400.388800000001</v>
      </c>
      <c r="F47" s="179"/>
      <c r="G47" s="179">
        <f t="shared" si="8"/>
        <v>14400.388800000001</v>
      </c>
      <c r="I47" s="179"/>
    </row>
    <row r="48" spans="1:10" x14ac:dyDescent="0.25">
      <c r="A48" s="177">
        <v>41</v>
      </c>
      <c r="B48" t="s">
        <v>219</v>
      </c>
      <c r="D48"/>
      <c r="E48" s="122"/>
      <c r="F48" s="122">
        <f>F19</f>
        <v>26137.642752000003</v>
      </c>
      <c r="G48" s="5">
        <f>SUM(C48:F48)</f>
        <v>26137.642752000003</v>
      </c>
    </row>
    <row r="49" spans="1:8" x14ac:dyDescent="0.25">
      <c r="A49" s="177">
        <v>42</v>
      </c>
      <c r="B49" t="s">
        <v>216</v>
      </c>
      <c r="E49" s="122"/>
      <c r="F49" s="122">
        <f>F20</f>
        <v>20229.228864000001</v>
      </c>
      <c r="G49" s="122">
        <f t="shared" ref="G49:G51" si="9">SUM(C49:F49)</f>
        <v>20229.228864000001</v>
      </c>
    </row>
    <row r="50" spans="1:8" x14ac:dyDescent="0.25">
      <c r="A50" s="177">
        <v>43</v>
      </c>
      <c r="B50" t="s">
        <v>216</v>
      </c>
      <c r="E50" s="122"/>
      <c r="F50" s="122">
        <f>F21</f>
        <v>20532.878352000003</v>
      </c>
      <c r="G50" s="122">
        <f t="shared" si="9"/>
        <v>20532.878352000003</v>
      </c>
    </row>
    <row r="51" spans="1:8" x14ac:dyDescent="0.25">
      <c r="A51" s="177">
        <v>44</v>
      </c>
      <c r="B51" t="s">
        <v>220</v>
      </c>
      <c r="E51" s="122"/>
      <c r="F51" s="122">
        <f>F22</f>
        <v>0</v>
      </c>
      <c r="G51" s="122">
        <f t="shared" si="9"/>
        <v>0</v>
      </c>
    </row>
    <row r="52" spans="1:8" x14ac:dyDescent="0.25">
      <c r="A52" s="177">
        <v>45</v>
      </c>
      <c r="B52" t="s">
        <v>125</v>
      </c>
      <c r="C52" s="5">
        <f>F23*0.33</f>
        <v>1805.76</v>
      </c>
      <c r="D52" s="5">
        <f>F23*0.34</f>
        <v>1860.4800000000002</v>
      </c>
      <c r="E52" s="5">
        <f>F23*0.33</f>
        <v>1805.76</v>
      </c>
      <c r="F52" s="122"/>
      <c r="G52" s="5">
        <f>SUM(C52:E52)</f>
        <v>5472</v>
      </c>
    </row>
    <row r="53" spans="1:8" x14ac:dyDescent="0.25">
      <c r="A53" s="177">
        <v>46</v>
      </c>
      <c r="B53" t="s">
        <v>126</v>
      </c>
      <c r="C53" s="5">
        <f>F24*0.33</f>
        <v>2.1120000000000001</v>
      </c>
      <c r="D53" s="5">
        <f>F24*0.34</f>
        <v>2.1760000000000002</v>
      </c>
      <c r="E53" s="5">
        <f>F24*0.33</f>
        <v>2.1120000000000001</v>
      </c>
      <c r="F53" s="122"/>
      <c r="G53" s="5">
        <f>SUM(C53:E53)</f>
        <v>6.4</v>
      </c>
    </row>
    <row r="54" spans="1:8" x14ac:dyDescent="0.25">
      <c r="A54" s="177">
        <v>47</v>
      </c>
      <c r="B54" s="47" t="s">
        <v>267</v>
      </c>
      <c r="C54" s="5"/>
      <c r="D54" s="5"/>
      <c r="E54" s="5">
        <f>F26*0.5</f>
        <v>1871.424</v>
      </c>
      <c r="F54" s="122">
        <f>F26*0.5</f>
        <v>1871.424</v>
      </c>
      <c r="G54" s="5">
        <f t="shared" ref="G54" si="10">SUM(C54:F54)</f>
        <v>3742.848</v>
      </c>
      <c r="H54" s="4"/>
    </row>
    <row r="55" spans="1:8" x14ac:dyDescent="0.25">
      <c r="A55" s="177">
        <v>48</v>
      </c>
      <c r="B55" s="8" t="s">
        <v>131</v>
      </c>
      <c r="C55" s="5">
        <f>SUM(C34:C54)</f>
        <v>13387.6909504</v>
      </c>
      <c r="D55" s="5">
        <f t="shared" ref="D55:F55" si="11">SUM(D34:D54)</f>
        <v>13442.474950399999</v>
      </c>
      <c r="E55" s="5">
        <f t="shared" si="11"/>
        <v>86254.262227199986</v>
      </c>
      <c r="F55" s="122">
        <f t="shared" si="11"/>
        <v>68789.891913600004</v>
      </c>
      <c r="G55" s="5">
        <f>SUM(G34:G54)</f>
        <v>181874.3200416</v>
      </c>
    </row>
    <row r="56" spans="1:8" x14ac:dyDescent="0.25">
      <c r="A56" s="177">
        <v>49</v>
      </c>
    </row>
    <row r="57" spans="1:8" x14ac:dyDescent="0.25">
      <c r="A57" s="177">
        <v>50</v>
      </c>
      <c r="E57" s="8" t="s">
        <v>132</v>
      </c>
      <c r="F57" s="42">
        <f>SUM(C55:F55)</f>
        <v>181874.32004159997</v>
      </c>
    </row>
  </sheetData>
  <sheetProtection selectLockedCells="1" selectUnlockedCells="1"/>
  <mergeCells count="2">
    <mergeCell ref="A1:F1"/>
    <mergeCell ref="B32:F32"/>
  </mergeCells>
  <printOptions horizontalCentered="1" headings="1"/>
  <pageMargins left="0" right="0" top="1.25" bottom="0" header="0.3" footer="0.3"/>
  <pageSetup scale="76" orientation="portrait" r:id="rId1"/>
  <headerFooter>
    <oddHeader>&amp;C&amp;"Times New Roman,Bold"&amp;20Chester Public Utility District
FY 22/23 &amp;RPage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view="pageLayout" topLeftCell="A28" zoomScaleNormal="75" workbookViewId="0">
      <selection activeCell="A5" sqref="A5"/>
    </sheetView>
  </sheetViews>
  <sheetFormatPr defaultRowHeight="15.75" x14ac:dyDescent="0.25"/>
  <cols>
    <col min="1" max="1" width="5.625" style="1" customWidth="1"/>
    <col min="2" max="2" width="26.625" customWidth="1"/>
    <col min="3" max="3" width="15.625" customWidth="1"/>
    <col min="4" max="4" width="13.625" style="1" customWidth="1"/>
    <col min="5" max="5" width="15.625" style="1" customWidth="1"/>
    <col min="6" max="7" width="10.75" customWidth="1"/>
    <col min="8" max="9" width="10.125" customWidth="1"/>
    <col min="10" max="10" width="11.125" customWidth="1"/>
  </cols>
  <sheetData>
    <row r="1" spans="1:11" x14ac:dyDescent="0.25">
      <c r="A1" s="215" t="s">
        <v>286</v>
      </c>
      <c r="B1" s="215"/>
      <c r="C1" s="215"/>
      <c r="D1" s="215"/>
      <c r="E1" s="215"/>
      <c r="F1" s="215"/>
      <c r="G1" s="215"/>
      <c r="H1" s="215"/>
    </row>
    <row r="2" spans="1:11" x14ac:dyDescent="0.25">
      <c r="A2"/>
      <c r="B2" s="1"/>
      <c r="D2"/>
      <c r="E2"/>
    </row>
    <row r="3" spans="1:11" x14ac:dyDescent="0.25">
      <c r="A3"/>
      <c r="B3" s="2" t="s">
        <v>16</v>
      </c>
      <c r="D3"/>
      <c r="E3"/>
    </row>
    <row r="4" spans="1:11" ht="31.5" x14ac:dyDescent="0.25">
      <c r="A4"/>
      <c r="B4" s="7" t="s">
        <v>67</v>
      </c>
      <c r="C4" s="7" t="s">
        <v>107</v>
      </c>
      <c r="D4" s="7" t="s">
        <v>134</v>
      </c>
      <c r="E4" s="7" t="s">
        <v>133</v>
      </c>
      <c r="F4" s="7" t="s">
        <v>135</v>
      </c>
      <c r="G4" s="7" t="s">
        <v>136</v>
      </c>
      <c r="H4" s="7" t="s">
        <v>137</v>
      </c>
      <c r="I4" s="6"/>
      <c r="J4" s="6"/>
      <c r="K4" s="6"/>
    </row>
    <row r="5" spans="1:11" x14ac:dyDescent="0.25">
      <c r="A5" s="1">
        <v>1</v>
      </c>
      <c r="B5" t="s">
        <v>35</v>
      </c>
      <c r="C5" s="5">
        <f>Wages!M4</f>
        <v>0</v>
      </c>
      <c r="D5" s="37">
        <v>6.2E-2</v>
      </c>
      <c r="E5" s="5">
        <f>C5*D5</f>
        <v>0</v>
      </c>
      <c r="F5" s="43">
        <v>1.4500000000000001E-2</v>
      </c>
      <c r="G5" s="5">
        <f>C5*F5</f>
        <v>0</v>
      </c>
      <c r="H5" s="5">
        <f>E5+G5</f>
        <v>0</v>
      </c>
      <c r="I5" s="5"/>
    </row>
    <row r="6" spans="1:11" x14ac:dyDescent="0.25">
      <c r="A6" s="1">
        <v>2</v>
      </c>
      <c r="B6" t="s">
        <v>40</v>
      </c>
      <c r="C6" s="5">
        <f>Wages!M5</f>
        <v>67849</v>
      </c>
      <c r="D6" s="37">
        <v>6.2E-2</v>
      </c>
      <c r="E6" s="5">
        <f t="shared" ref="E6:E23" si="0">C6*D6</f>
        <v>4206.6379999999999</v>
      </c>
      <c r="F6" s="43">
        <v>1.4500000000000001E-2</v>
      </c>
      <c r="G6" s="5">
        <f t="shared" ref="G6:G23" si="1">C6*F6</f>
        <v>983.81050000000005</v>
      </c>
      <c r="H6" s="5">
        <f t="shared" ref="H6:H23" si="2">E6+G6</f>
        <v>5190.4485000000004</v>
      </c>
      <c r="I6" s="5"/>
    </row>
    <row r="7" spans="1:11" x14ac:dyDescent="0.25">
      <c r="A7" s="1">
        <v>3</v>
      </c>
      <c r="B7" t="s">
        <v>41</v>
      </c>
      <c r="C7" s="5">
        <f>Wages!M6</f>
        <v>39728</v>
      </c>
      <c r="D7" s="37">
        <v>6.2E-2</v>
      </c>
      <c r="E7" s="5">
        <f t="shared" si="0"/>
        <v>2463.136</v>
      </c>
      <c r="F7" s="43">
        <v>1.4500000000000001E-2</v>
      </c>
      <c r="G7" s="5">
        <f t="shared" si="1"/>
        <v>576.05600000000004</v>
      </c>
      <c r="H7" s="5">
        <f t="shared" si="2"/>
        <v>3039.192</v>
      </c>
      <c r="I7" s="5"/>
    </row>
    <row r="8" spans="1:11" x14ac:dyDescent="0.25">
      <c r="A8" s="1">
        <v>4</v>
      </c>
      <c r="B8" t="s">
        <v>319</v>
      </c>
      <c r="C8" s="5">
        <f>Wages!M8</f>
        <v>10000</v>
      </c>
      <c r="D8" s="37">
        <v>6.2E-2</v>
      </c>
      <c r="E8" s="5">
        <f t="shared" si="0"/>
        <v>620</v>
      </c>
      <c r="F8" s="43">
        <v>1.4500000000000001E-2</v>
      </c>
      <c r="G8" s="5">
        <f t="shared" si="1"/>
        <v>145</v>
      </c>
      <c r="H8" s="5">
        <f t="shared" si="2"/>
        <v>765</v>
      </c>
      <c r="I8" s="5"/>
    </row>
    <row r="9" spans="1:11" x14ac:dyDescent="0.25">
      <c r="A9" s="1">
        <v>5</v>
      </c>
      <c r="B9" t="s">
        <v>42</v>
      </c>
      <c r="C9" s="5">
        <f>Wages!M8</f>
        <v>10000</v>
      </c>
      <c r="D9" s="37">
        <v>6.2E-2</v>
      </c>
      <c r="E9" s="5">
        <f t="shared" si="0"/>
        <v>620</v>
      </c>
      <c r="F9" s="43">
        <v>1.4500000000000001E-2</v>
      </c>
      <c r="G9" s="5">
        <f t="shared" si="1"/>
        <v>145</v>
      </c>
      <c r="H9" s="5">
        <f t="shared" si="2"/>
        <v>765</v>
      </c>
      <c r="I9" s="5"/>
    </row>
    <row r="10" spans="1:11" x14ac:dyDescent="0.25">
      <c r="A10" s="1">
        <v>6</v>
      </c>
      <c r="B10" t="s">
        <v>43</v>
      </c>
      <c r="C10" s="5">
        <f>Wages!M9</f>
        <v>69388</v>
      </c>
      <c r="D10" s="37">
        <v>6.2E-2</v>
      </c>
      <c r="E10" s="5">
        <f t="shared" si="0"/>
        <v>4302.0559999999996</v>
      </c>
      <c r="F10" s="43">
        <v>1.4500000000000001E-2</v>
      </c>
      <c r="G10" s="5">
        <f t="shared" si="1"/>
        <v>1006.1260000000001</v>
      </c>
      <c r="H10" s="5">
        <f t="shared" si="2"/>
        <v>5308.1819999999998</v>
      </c>
    </row>
    <row r="11" spans="1:11" x14ac:dyDescent="0.25">
      <c r="A11" s="1">
        <v>7</v>
      </c>
      <c r="B11" t="s">
        <v>44</v>
      </c>
      <c r="C11" s="5">
        <f>Wages!M10</f>
        <v>0</v>
      </c>
      <c r="D11" s="37">
        <v>6.2E-2</v>
      </c>
      <c r="E11" s="5">
        <f t="shared" si="0"/>
        <v>0</v>
      </c>
      <c r="F11" s="43">
        <v>1.4500000000000001E-2</v>
      </c>
      <c r="G11" s="5">
        <f t="shared" si="1"/>
        <v>0</v>
      </c>
      <c r="H11" s="5">
        <f t="shared" si="2"/>
        <v>0</v>
      </c>
    </row>
    <row r="12" spans="1:11" x14ac:dyDescent="0.25">
      <c r="A12" s="1">
        <v>8</v>
      </c>
      <c r="B12" t="s">
        <v>45</v>
      </c>
      <c r="C12" s="5">
        <f>Wages!M11</f>
        <v>35349.599999999999</v>
      </c>
      <c r="D12" s="37">
        <v>6.2E-2</v>
      </c>
      <c r="E12" s="5">
        <f t="shared" si="0"/>
        <v>2191.6751999999997</v>
      </c>
      <c r="F12" s="43">
        <v>1.4500000000000001E-2</v>
      </c>
      <c r="G12" s="5">
        <f t="shared" si="1"/>
        <v>512.56920000000002</v>
      </c>
      <c r="H12" s="5">
        <f t="shared" si="2"/>
        <v>2704.2443999999996</v>
      </c>
    </row>
    <row r="13" spans="1:11" x14ac:dyDescent="0.25">
      <c r="A13" s="1">
        <v>9</v>
      </c>
      <c r="B13" t="s">
        <v>45</v>
      </c>
      <c r="C13" s="5">
        <f>Wages!M12</f>
        <v>35263.800000000003</v>
      </c>
      <c r="D13" s="37">
        <v>6.2E-2</v>
      </c>
      <c r="E13" s="5">
        <f t="shared" si="0"/>
        <v>2186.3556000000003</v>
      </c>
      <c r="F13" s="43">
        <v>1.4500000000000001E-2</v>
      </c>
      <c r="G13" s="5">
        <f t="shared" si="1"/>
        <v>511.32510000000008</v>
      </c>
      <c r="H13" s="5">
        <f t="shared" si="2"/>
        <v>2697.6807000000003</v>
      </c>
    </row>
    <row r="14" spans="1:11" x14ac:dyDescent="0.25">
      <c r="A14" s="1">
        <v>10</v>
      </c>
      <c r="B14" t="s">
        <v>39</v>
      </c>
      <c r="C14" s="5">
        <f>Wages!M13</f>
        <v>24000</v>
      </c>
      <c r="D14" s="37">
        <v>6.2E-2</v>
      </c>
      <c r="E14" s="5">
        <f t="shared" si="0"/>
        <v>1488</v>
      </c>
      <c r="F14" s="43">
        <v>1.4500000000000001E-2</v>
      </c>
      <c r="G14" s="5">
        <f t="shared" si="1"/>
        <v>348</v>
      </c>
      <c r="H14" s="5">
        <f t="shared" si="2"/>
        <v>1836</v>
      </c>
      <c r="I14" s="5"/>
    </row>
    <row r="15" spans="1:11" x14ac:dyDescent="0.25">
      <c r="A15" s="1">
        <v>11</v>
      </c>
      <c r="B15" t="s">
        <v>218</v>
      </c>
      <c r="C15" s="5">
        <f>Wages!M14</f>
        <v>105852</v>
      </c>
      <c r="D15" s="37">
        <v>6.2E-2</v>
      </c>
      <c r="E15" s="5">
        <f t="shared" si="0"/>
        <v>6562.8239999999996</v>
      </c>
      <c r="F15" s="43">
        <v>1.4500000000000001E-2</v>
      </c>
      <c r="G15" s="5">
        <f t="shared" si="1"/>
        <v>1534.854</v>
      </c>
      <c r="H15" s="5">
        <f t="shared" si="2"/>
        <v>8097.6779999999999</v>
      </c>
      <c r="I15" s="5"/>
    </row>
    <row r="16" spans="1:11" x14ac:dyDescent="0.25">
      <c r="A16" s="1">
        <v>12</v>
      </c>
      <c r="B16" t="s">
        <v>215</v>
      </c>
      <c r="C16" s="5">
        <f>Wages!M15</f>
        <v>63188.1</v>
      </c>
      <c r="D16" s="37">
        <v>6.2E-2</v>
      </c>
      <c r="E16" s="5">
        <f t="shared" si="0"/>
        <v>3917.6621999999998</v>
      </c>
      <c r="F16" s="43">
        <v>1.4500000000000001E-2</v>
      </c>
      <c r="G16" s="5">
        <f t="shared" si="1"/>
        <v>916.22744999999998</v>
      </c>
      <c r="H16" s="5">
        <f t="shared" si="2"/>
        <v>4833.8896500000001</v>
      </c>
      <c r="I16" s="5"/>
    </row>
    <row r="17" spans="1:9" x14ac:dyDescent="0.25">
      <c r="A17" s="124">
        <v>13</v>
      </c>
      <c r="B17" t="s">
        <v>215</v>
      </c>
      <c r="C17" s="5">
        <f>Wages!M16</f>
        <v>56019</v>
      </c>
      <c r="D17" s="37">
        <v>6.2E-2</v>
      </c>
      <c r="E17" s="5">
        <f t="shared" ref="E17:E18" si="3">C17*D17</f>
        <v>3473.1779999999999</v>
      </c>
      <c r="F17" s="43">
        <v>1.4500000000000001E-2</v>
      </c>
      <c r="G17" s="5">
        <f t="shared" ref="G17:G18" si="4">C17*F17</f>
        <v>812.27550000000008</v>
      </c>
      <c r="H17" s="5">
        <f t="shared" ref="H17:H18" si="5">E17+G17</f>
        <v>4285.4534999999996</v>
      </c>
      <c r="I17" s="5"/>
    </row>
    <row r="18" spans="1:9" x14ac:dyDescent="0.25">
      <c r="A18" s="177">
        <v>14</v>
      </c>
      <c r="B18" t="s">
        <v>215</v>
      </c>
      <c r="C18" s="179">
        <f>Wages!M17</f>
        <v>52633</v>
      </c>
      <c r="D18" s="37">
        <v>6.2E-2</v>
      </c>
      <c r="E18" s="179">
        <f t="shared" si="3"/>
        <v>3263.2460000000001</v>
      </c>
      <c r="F18" s="43">
        <v>1.4500000000000001E-2</v>
      </c>
      <c r="G18" s="179">
        <f t="shared" si="4"/>
        <v>763.17849999999999</v>
      </c>
      <c r="H18" s="179">
        <f t="shared" si="5"/>
        <v>4026.4245000000001</v>
      </c>
      <c r="I18" s="179"/>
    </row>
    <row r="19" spans="1:9" x14ac:dyDescent="0.25">
      <c r="A19" s="177">
        <v>15</v>
      </c>
      <c r="B19" t="s">
        <v>219</v>
      </c>
      <c r="C19" s="5">
        <f>Wages!M18</f>
        <v>95532.32</v>
      </c>
      <c r="D19" s="37">
        <v>6.2E-2</v>
      </c>
      <c r="E19" s="5">
        <f t="shared" si="0"/>
        <v>5923.0038400000003</v>
      </c>
      <c r="F19" s="43">
        <v>1.4500000000000001E-2</v>
      </c>
      <c r="G19" s="5">
        <f t="shared" si="1"/>
        <v>1385.2186400000003</v>
      </c>
      <c r="H19" s="5">
        <f t="shared" si="2"/>
        <v>7308.2224800000004</v>
      </c>
      <c r="I19" s="5"/>
    </row>
    <row r="20" spans="1:9" x14ac:dyDescent="0.25">
      <c r="A20" s="177">
        <v>16</v>
      </c>
      <c r="B20" t="s">
        <v>216</v>
      </c>
      <c r="C20" s="5">
        <f>Wages!M19</f>
        <v>73937.240000000005</v>
      </c>
      <c r="D20" s="37">
        <v>6.2E-2</v>
      </c>
      <c r="E20" s="5">
        <f t="shared" si="0"/>
        <v>4584.1088800000007</v>
      </c>
      <c r="F20" s="43">
        <v>1.4500000000000001E-2</v>
      </c>
      <c r="G20" s="5">
        <f t="shared" si="1"/>
        <v>1072.0899800000002</v>
      </c>
      <c r="H20" s="5">
        <f t="shared" si="2"/>
        <v>5656.1988600000004</v>
      </c>
      <c r="I20" s="5"/>
    </row>
    <row r="21" spans="1:9" x14ac:dyDescent="0.25">
      <c r="A21" s="177">
        <v>17</v>
      </c>
      <c r="B21" t="s">
        <v>216</v>
      </c>
      <c r="C21" s="5">
        <f>Wages!M20</f>
        <v>75047.070000000007</v>
      </c>
      <c r="D21" s="37">
        <v>6.2E-2</v>
      </c>
      <c r="E21" s="5">
        <f t="shared" si="0"/>
        <v>4652.9183400000002</v>
      </c>
      <c r="F21" s="43">
        <v>1.4500000000000001E-2</v>
      </c>
      <c r="G21" s="5">
        <f t="shared" si="1"/>
        <v>1088.1825150000002</v>
      </c>
      <c r="H21" s="5">
        <f t="shared" si="2"/>
        <v>5741.1008550000006</v>
      </c>
      <c r="I21" s="5"/>
    </row>
    <row r="22" spans="1:9" x14ac:dyDescent="0.25">
      <c r="A22" s="177">
        <v>18</v>
      </c>
      <c r="B22" t="s">
        <v>220</v>
      </c>
      <c r="C22" s="5">
        <f>Wages!M21</f>
        <v>0</v>
      </c>
      <c r="D22" s="37">
        <v>6.2E-2</v>
      </c>
      <c r="E22" s="5">
        <f t="shared" si="0"/>
        <v>0</v>
      </c>
      <c r="F22" s="43">
        <v>1.4500000000000001E-2</v>
      </c>
      <c r="G22" s="5">
        <f t="shared" si="1"/>
        <v>0</v>
      </c>
      <c r="H22" s="5">
        <f t="shared" si="2"/>
        <v>0</v>
      </c>
      <c r="I22" s="5"/>
    </row>
    <row r="23" spans="1:9" x14ac:dyDescent="0.25">
      <c r="A23" s="177">
        <v>19</v>
      </c>
      <c r="B23" t="s">
        <v>265</v>
      </c>
      <c r="C23" s="156">
        <f>Wages!E39</f>
        <v>13680</v>
      </c>
      <c r="D23" s="37">
        <v>6.2E-2</v>
      </c>
      <c r="E23" s="1">
        <f t="shared" si="0"/>
        <v>848.16</v>
      </c>
      <c r="F23" s="43">
        <v>1.4500000000000001E-2</v>
      </c>
      <c r="G23" s="154">
        <f t="shared" si="1"/>
        <v>198.36</v>
      </c>
      <c r="H23" s="4">
        <f t="shared" si="2"/>
        <v>1046.52</v>
      </c>
      <c r="I23" s="5"/>
    </row>
    <row r="24" spans="1:9" x14ac:dyDescent="0.25">
      <c r="A24" s="177">
        <v>20</v>
      </c>
      <c r="B24" s="8" t="s">
        <v>119</v>
      </c>
      <c r="C24" s="5">
        <f>SUM(C5:C23)</f>
        <v>827467.13000000012</v>
      </c>
      <c r="D24" s="41" t="s">
        <v>90</v>
      </c>
      <c r="E24" s="5">
        <f>SUM(E5:E23)</f>
        <v>51302.962060000005</v>
      </c>
      <c r="F24" s="41" t="s">
        <v>90</v>
      </c>
      <c r="G24" s="5">
        <f>SUM(G5:G23)</f>
        <v>11998.273385000002</v>
      </c>
      <c r="H24" s="5"/>
      <c r="I24" s="5"/>
    </row>
    <row r="25" spans="1:9" x14ac:dyDescent="0.25">
      <c r="A25" s="177">
        <v>21</v>
      </c>
      <c r="B25" s="8"/>
      <c r="C25" s="5"/>
      <c r="D25" s="5"/>
      <c r="E25" s="5"/>
      <c r="F25" s="214" t="s">
        <v>138</v>
      </c>
      <c r="G25" s="214"/>
      <c r="H25" s="5">
        <f>SUM(H5:H24)</f>
        <v>63301.235445000006</v>
      </c>
    </row>
    <row r="26" spans="1:9" x14ac:dyDescent="0.25">
      <c r="A26" s="177">
        <v>22</v>
      </c>
      <c r="F26" s="1"/>
      <c r="G26" s="1"/>
    </row>
    <row r="27" spans="1:9" x14ac:dyDescent="0.25">
      <c r="A27" s="39"/>
      <c r="B27" s="17"/>
      <c r="C27" s="17"/>
      <c r="D27" s="17"/>
      <c r="E27" s="17"/>
      <c r="F27" s="17"/>
      <c r="G27" s="17"/>
      <c r="H27" s="17"/>
    </row>
    <row r="28" spans="1:9" x14ac:dyDescent="0.25">
      <c r="F28" s="1"/>
      <c r="G28" s="1"/>
    </row>
    <row r="29" spans="1:9" x14ac:dyDescent="0.25">
      <c r="A29" s="1">
        <v>23</v>
      </c>
      <c r="B29" s="215" t="s">
        <v>99</v>
      </c>
      <c r="C29" s="215"/>
      <c r="D29" s="215"/>
      <c r="E29" s="215"/>
      <c r="F29" s="215"/>
      <c r="G29" s="215"/>
      <c r="H29" s="215"/>
    </row>
    <row r="30" spans="1:9" x14ac:dyDescent="0.25">
      <c r="A30" s="1">
        <v>24</v>
      </c>
      <c r="C30" s="1" t="s">
        <v>36</v>
      </c>
      <c r="D30" s="1" t="s">
        <v>37</v>
      </c>
      <c r="E30" s="1" t="s">
        <v>38</v>
      </c>
      <c r="F30" s="121" t="s">
        <v>226</v>
      </c>
      <c r="G30" s="1" t="s">
        <v>98</v>
      </c>
    </row>
    <row r="31" spans="1:9" x14ac:dyDescent="0.25">
      <c r="A31" s="124">
        <v>25</v>
      </c>
      <c r="B31" t="s">
        <v>35</v>
      </c>
      <c r="C31" s="5">
        <f>H5*0.4</f>
        <v>0</v>
      </c>
      <c r="D31" s="5">
        <f>H5*0.4</f>
        <v>0</v>
      </c>
      <c r="E31" s="5">
        <f>H5*0.1</f>
        <v>0</v>
      </c>
      <c r="F31" s="4">
        <f>H5*0.1</f>
        <v>0</v>
      </c>
      <c r="G31" s="5">
        <f>SUM(C31:F31)</f>
        <v>0</v>
      </c>
    </row>
    <row r="32" spans="1:9" x14ac:dyDescent="0.25">
      <c r="A32" s="124">
        <v>26</v>
      </c>
      <c r="B32" t="s">
        <v>40</v>
      </c>
      <c r="C32" s="5">
        <f>H6*0.3</f>
        <v>1557.13455</v>
      </c>
      <c r="D32" s="5">
        <f>H6*0.3</f>
        <v>1557.13455</v>
      </c>
      <c r="E32" s="5">
        <f>H6*0.3</f>
        <v>1557.13455</v>
      </c>
      <c r="F32" s="4">
        <f>H6*0.1</f>
        <v>519.04485000000011</v>
      </c>
      <c r="G32" s="5">
        <f>SUM(C32:F32)</f>
        <v>5190.4485000000004</v>
      </c>
    </row>
    <row r="33" spans="1:9" x14ac:dyDescent="0.25">
      <c r="A33" s="124">
        <v>27</v>
      </c>
      <c r="B33" t="s">
        <v>41</v>
      </c>
      <c r="C33" s="122">
        <f>H7*0.3</f>
        <v>911.75760000000002</v>
      </c>
      <c r="D33" s="122">
        <f>H7*0.3</f>
        <v>911.75760000000002</v>
      </c>
      <c r="E33" s="122">
        <f>H7*0.1</f>
        <v>303.91919999999999</v>
      </c>
      <c r="F33" s="4">
        <f>H7*0.3</f>
        <v>911.75760000000002</v>
      </c>
      <c r="G33" s="122">
        <f>SUM(C33:F33)</f>
        <v>3039.192</v>
      </c>
    </row>
    <row r="34" spans="1:9" x14ac:dyDescent="0.25">
      <c r="A34" s="124">
        <v>28</v>
      </c>
      <c r="B34" t="s">
        <v>319</v>
      </c>
      <c r="C34" s="5">
        <f>H8*0.5</f>
        <v>382.5</v>
      </c>
      <c r="D34" s="5">
        <f>H8*0.5</f>
        <v>382.5</v>
      </c>
      <c r="E34" s="5"/>
      <c r="G34" s="5">
        <f>SUM(C34:F34)</f>
        <v>765</v>
      </c>
    </row>
    <row r="35" spans="1:9" x14ac:dyDescent="0.25">
      <c r="A35" s="124">
        <v>29</v>
      </c>
      <c r="B35" t="s">
        <v>42</v>
      </c>
      <c r="C35" s="5">
        <f>H9*0.15</f>
        <v>114.75</v>
      </c>
      <c r="D35" s="5">
        <f>H9*0.15</f>
        <v>114.75</v>
      </c>
      <c r="E35" s="5">
        <f>H9*0.5</f>
        <v>382.5</v>
      </c>
      <c r="F35" s="122">
        <f>H9*0.2</f>
        <v>153</v>
      </c>
      <c r="G35" s="5">
        <f>SUM(C35:F35)</f>
        <v>765</v>
      </c>
    </row>
    <row r="36" spans="1:9" x14ac:dyDescent="0.25">
      <c r="A36" s="124">
        <v>30</v>
      </c>
      <c r="B36" t="s">
        <v>43</v>
      </c>
      <c r="C36" s="5">
        <f>H10*0.5</f>
        <v>2654.0909999999999</v>
      </c>
      <c r="D36" s="5">
        <f>H10*0.5</f>
        <v>2654.0909999999999</v>
      </c>
      <c r="G36" s="5">
        <f t="shared" ref="G36:G42" si="6">SUM(C36:E36)</f>
        <v>5308.1819999999998</v>
      </c>
    </row>
    <row r="37" spans="1:9" x14ac:dyDescent="0.25">
      <c r="A37" s="124">
        <v>31</v>
      </c>
      <c r="B37" t="s">
        <v>44</v>
      </c>
      <c r="C37" s="5">
        <f>H11*0.5</f>
        <v>0</v>
      </c>
      <c r="D37" s="5">
        <f>H11*0.5</f>
        <v>0</v>
      </c>
      <c r="G37" s="5">
        <f t="shared" si="6"/>
        <v>0</v>
      </c>
    </row>
    <row r="38" spans="1:9" x14ac:dyDescent="0.25">
      <c r="A38" s="124">
        <v>32</v>
      </c>
      <c r="B38" t="s">
        <v>45</v>
      </c>
      <c r="C38" s="5">
        <f>H12*0.5</f>
        <v>1352.1221999999998</v>
      </c>
      <c r="D38" s="5">
        <f>H12*0.5</f>
        <v>1352.1221999999998</v>
      </c>
      <c r="G38" s="5">
        <f t="shared" si="6"/>
        <v>2704.2443999999996</v>
      </c>
    </row>
    <row r="39" spans="1:9" x14ac:dyDescent="0.25">
      <c r="A39" s="124">
        <v>33</v>
      </c>
      <c r="B39" t="s">
        <v>45</v>
      </c>
      <c r="C39" s="5">
        <f>H13*0.5</f>
        <v>1348.8403500000002</v>
      </c>
      <c r="D39" s="5">
        <f>H13*0.5</f>
        <v>1348.8403500000002</v>
      </c>
      <c r="G39" s="5">
        <f t="shared" si="6"/>
        <v>2697.6807000000003</v>
      </c>
    </row>
    <row r="40" spans="1:9" x14ac:dyDescent="0.25">
      <c r="A40" s="124">
        <v>34</v>
      </c>
      <c r="B40" t="s">
        <v>39</v>
      </c>
      <c r="E40" s="5">
        <f>H14</f>
        <v>1836</v>
      </c>
      <c r="G40" s="5">
        <f t="shared" si="6"/>
        <v>1836</v>
      </c>
      <c r="H40" s="5"/>
    </row>
    <row r="41" spans="1:9" x14ac:dyDescent="0.25">
      <c r="A41" s="124">
        <v>35</v>
      </c>
      <c r="B41" t="s">
        <v>218</v>
      </c>
      <c r="E41" s="5">
        <f>H15</f>
        <v>8097.6779999999999</v>
      </c>
      <c r="G41" s="5">
        <f t="shared" si="6"/>
        <v>8097.6779999999999</v>
      </c>
    </row>
    <row r="42" spans="1:9" x14ac:dyDescent="0.25">
      <c r="A42" s="124">
        <v>36</v>
      </c>
      <c r="B42" t="s">
        <v>215</v>
      </c>
      <c r="D42"/>
      <c r="E42" s="5">
        <f>H16</f>
        <v>4833.8896500000001</v>
      </c>
      <c r="G42" s="5">
        <f t="shared" si="6"/>
        <v>4833.8896500000001</v>
      </c>
      <c r="H42" s="5"/>
      <c r="I42" s="5"/>
    </row>
    <row r="43" spans="1:9" x14ac:dyDescent="0.25">
      <c r="A43" s="124">
        <v>37</v>
      </c>
      <c r="B43" t="s">
        <v>215</v>
      </c>
      <c r="D43"/>
      <c r="E43" s="5">
        <f>H17</f>
        <v>4285.4534999999996</v>
      </c>
      <c r="G43" s="5">
        <f t="shared" ref="G43:G44" si="7">SUM(C43:E43)</f>
        <v>4285.4534999999996</v>
      </c>
      <c r="H43" s="5"/>
      <c r="I43" s="5"/>
    </row>
    <row r="44" spans="1:9" x14ac:dyDescent="0.25">
      <c r="A44" s="177">
        <v>38</v>
      </c>
      <c r="B44" t="s">
        <v>215</v>
      </c>
      <c r="D44"/>
      <c r="E44" s="179">
        <f>H18</f>
        <v>4026.4245000000001</v>
      </c>
      <c r="G44" s="179">
        <f t="shared" si="7"/>
        <v>4026.4245000000001</v>
      </c>
      <c r="H44" s="179"/>
      <c r="I44" s="179"/>
    </row>
    <row r="45" spans="1:9" x14ac:dyDescent="0.25">
      <c r="A45" s="177">
        <v>39</v>
      </c>
      <c r="B45" t="s">
        <v>219</v>
      </c>
      <c r="D45"/>
      <c r="E45" s="5"/>
      <c r="F45" s="122">
        <f>H19</f>
        <v>7308.2224800000004</v>
      </c>
      <c r="G45" s="5">
        <f>SUM(C45:F45)</f>
        <v>7308.2224800000004</v>
      </c>
    </row>
    <row r="46" spans="1:9" x14ac:dyDescent="0.25">
      <c r="A46" s="177">
        <v>40</v>
      </c>
      <c r="B46" t="s">
        <v>216</v>
      </c>
      <c r="E46" s="122"/>
      <c r="F46" s="128">
        <f>H20</f>
        <v>5656.1988600000004</v>
      </c>
      <c r="G46" s="122">
        <f t="shared" ref="G46:G48" si="8">SUM(C46:F46)</f>
        <v>5656.1988600000004</v>
      </c>
    </row>
    <row r="47" spans="1:9" x14ac:dyDescent="0.25">
      <c r="A47" s="177">
        <v>41</v>
      </c>
      <c r="B47" t="s">
        <v>216</v>
      </c>
      <c r="E47" s="122"/>
      <c r="F47" s="128">
        <f>H21</f>
        <v>5741.1008550000006</v>
      </c>
      <c r="G47" s="122">
        <f t="shared" si="8"/>
        <v>5741.1008550000006</v>
      </c>
    </row>
    <row r="48" spans="1:9" x14ac:dyDescent="0.25">
      <c r="A48" s="177">
        <v>42</v>
      </c>
      <c r="B48" t="s">
        <v>220</v>
      </c>
      <c r="E48" s="122"/>
      <c r="F48" s="128">
        <f>H22</f>
        <v>0</v>
      </c>
      <c r="G48" s="122">
        <f t="shared" si="8"/>
        <v>0</v>
      </c>
    </row>
    <row r="49" spans="1:7" x14ac:dyDescent="0.25">
      <c r="A49" s="177">
        <v>43</v>
      </c>
      <c r="B49" s="47" t="s">
        <v>265</v>
      </c>
      <c r="C49" s="5"/>
      <c r="D49" s="5"/>
      <c r="E49" s="5">
        <f>H23*0.5</f>
        <v>523.26</v>
      </c>
      <c r="F49" s="5">
        <f>H23*0.5</f>
        <v>523.26</v>
      </c>
    </row>
    <row r="50" spans="1:7" x14ac:dyDescent="0.25">
      <c r="A50" s="177">
        <v>44</v>
      </c>
      <c r="B50" s="8" t="s">
        <v>131</v>
      </c>
      <c r="C50" s="5">
        <f>SUM(C31:C49)</f>
        <v>8321.1957000000002</v>
      </c>
      <c r="D50" s="5">
        <f>SUM(D31:D49)</f>
        <v>8321.1957000000002</v>
      </c>
      <c r="E50" s="5">
        <f>SUM(E31:E49)</f>
        <v>25846.259399999999</v>
      </c>
      <c r="F50" s="122">
        <f>SUM(F31:F49)</f>
        <v>20812.584644999999</v>
      </c>
      <c r="G50" s="5">
        <f>SUM(G31:G49)</f>
        <v>62254.715445000009</v>
      </c>
    </row>
    <row r="51" spans="1:7" x14ac:dyDescent="0.25">
      <c r="A51" s="177">
        <v>45</v>
      </c>
      <c r="G51" s="4"/>
    </row>
    <row r="52" spans="1:7" x14ac:dyDescent="0.25">
      <c r="A52" s="177">
        <v>46</v>
      </c>
      <c r="E52" s="8" t="s">
        <v>132</v>
      </c>
      <c r="F52" s="42">
        <f>SUM(C50:F50)</f>
        <v>63301.235444999998</v>
      </c>
    </row>
  </sheetData>
  <sheetProtection selectLockedCells="1" selectUnlockedCells="1"/>
  <mergeCells count="3">
    <mergeCell ref="F25:G25"/>
    <mergeCell ref="B29:H29"/>
    <mergeCell ref="A1:H1"/>
  </mergeCells>
  <printOptions horizontalCentered="1" headings="1"/>
  <pageMargins left="0" right="0" top="1.25" bottom="0" header="0.3" footer="0.3"/>
  <pageSetup scale="83" orientation="portrait" horizontalDpi="4294967293" verticalDpi="4294967293" r:id="rId1"/>
  <headerFooter>
    <oddHeader>&amp;LDraft 1 - Mar 2020&amp;C&amp;"Times New Roman,Bold"&amp;20Chester Public Utility District
FY 22-23 &amp;RPage 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view="pageLayout" topLeftCell="A34" zoomScaleNormal="75" workbookViewId="0">
      <selection sqref="A1:F1"/>
    </sheetView>
  </sheetViews>
  <sheetFormatPr defaultRowHeight="15.75" x14ac:dyDescent="0.25"/>
  <cols>
    <col min="1" max="1" width="5.625" style="1" customWidth="1"/>
    <col min="2" max="2" width="26.625" customWidth="1"/>
    <col min="3" max="3" width="15.625" customWidth="1"/>
    <col min="4" max="4" width="14.75" style="1" customWidth="1"/>
    <col min="5" max="5" width="15.625" style="1" customWidth="1"/>
    <col min="6" max="6" width="15.75" customWidth="1"/>
    <col min="7" max="7" width="10.75" customWidth="1"/>
    <col min="8" max="9" width="10.125" customWidth="1"/>
    <col min="10" max="10" width="11.125" customWidth="1"/>
  </cols>
  <sheetData>
    <row r="1" spans="1:9" x14ac:dyDescent="0.25">
      <c r="A1" s="215" t="s">
        <v>20</v>
      </c>
      <c r="B1" s="215"/>
      <c r="C1" s="215"/>
      <c r="D1" s="215"/>
      <c r="E1" s="215"/>
      <c r="F1" s="215"/>
    </row>
    <row r="2" spans="1:9" x14ac:dyDescent="0.25">
      <c r="A2"/>
      <c r="B2" s="1"/>
      <c r="D2"/>
      <c r="E2"/>
    </row>
    <row r="3" spans="1:9" x14ac:dyDescent="0.25">
      <c r="A3"/>
      <c r="B3" s="2" t="s">
        <v>20</v>
      </c>
      <c r="D3"/>
      <c r="E3"/>
    </row>
    <row r="4" spans="1:9" ht="31.5" x14ac:dyDescent="0.25">
      <c r="A4"/>
      <c r="B4" s="7" t="s">
        <v>67</v>
      </c>
      <c r="C4" s="7" t="s">
        <v>107</v>
      </c>
      <c r="D4" s="7" t="s">
        <v>139</v>
      </c>
      <c r="E4" s="7" t="s">
        <v>140</v>
      </c>
      <c r="F4" s="7" t="s">
        <v>141</v>
      </c>
      <c r="G4" s="6"/>
      <c r="H4" s="6"/>
      <c r="I4" s="6"/>
    </row>
    <row r="5" spans="1:9" x14ac:dyDescent="0.25">
      <c r="A5" s="1">
        <v>1</v>
      </c>
      <c r="B5" t="s">
        <v>35</v>
      </c>
      <c r="C5" s="5">
        <f>Wages!M4</f>
        <v>0</v>
      </c>
      <c r="D5" s="37">
        <v>6.2E-2</v>
      </c>
      <c r="E5" s="5">
        <v>7000</v>
      </c>
      <c r="F5" s="5">
        <f>D5*E5</f>
        <v>434</v>
      </c>
      <c r="G5" s="5"/>
    </row>
    <row r="6" spans="1:9" x14ac:dyDescent="0.25">
      <c r="A6" s="1">
        <v>2</v>
      </c>
      <c r="B6" t="s">
        <v>40</v>
      </c>
      <c r="C6" s="5">
        <f>Wages!M5</f>
        <v>67849</v>
      </c>
      <c r="D6" s="37">
        <v>6.2E-2</v>
      </c>
      <c r="E6" s="5">
        <v>7000</v>
      </c>
      <c r="F6" s="5">
        <f t="shared" ref="F6:F22" si="0">D6*E6</f>
        <v>434</v>
      </c>
      <c r="G6" s="5"/>
    </row>
    <row r="7" spans="1:9" x14ac:dyDescent="0.25">
      <c r="A7" s="1">
        <v>3</v>
      </c>
      <c r="B7" t="s">
        <v>41</v>
      </c>
      <c r="C7" s="5">
        <f>Wages!M6</f>
        <v>39728</v>
      </c>
      <c r="D7" s="37">
        <v>6.2E-2</v>
      </c>
      <c r="E7" s="5">
        <v>7000</v>
      </c>
      <c r="F7" s="5">
        <f t="shared" si="0"/>
        <v>434</v>
      </c>
      <c r="G7" s="5"/>
    </row>
    <row r="8" spans="1:9" x14ac:dyDescent="0.25">
      <c r="A8" s="1">
        <v>4</v>
      </c>
      <c r="B8" t="s">
        <v>321</v>
      </c>
      <c r="C8" s="5">
        <f>Wages!M8</f>
        <v>10000</v>
      </c>
      <c r="D8" s="37">
        <v>6.2E-2</v>
      </c>
      <c r="E8" s="203">
        <v>7000</v>
      </c>
      <c r="F8" s="5">
        <f t="shared" si="0"/>
        <v>434</v>
      </c>
      <c r="G8" s="5"/>
    </row>
    <row r="9" spans="1:9" x14ac:dyDescent="0.25">
      <c r="A9" s="1">
        <v>5</v>
      </c>
      <c r="B9" t="s">
        <v>42</v>
      </c>
      <c r="C9" s="5">
        <f>Wages!M8</f>
        <v>10000</v>
      </c>
      <c r="D9" s="37">
        <v>6.2E-2</v>
      </c>
      <c r="E9" s="5">
        <v>0</v>
      </c>
      <c r="F9" s="5">
        <f t="shared" si="0"/>
        <v>0</v>
      </c>
      <c r="G9" s="5"/>
    </row>
    <row r="10" spans="1:9" x14ac:dyDescent="0.25">
      <c r="A10" s="1">
        <v>6</v>
      </c>
      <c r="B10" t="s">
        <v>43</v>
      </c>
      <c r="C10" s="5">
        <f>Wages!M9</f>
        <v>69388</v>
      </c>
      <c r="D10" s="37">
        <v>6.2E-2</v>
      </c>
      <c r="E10" s="5">
        <v>7000</v>
      </c>
      <c r="F10" s="5">
        <f t="shared" si="0"/>
        <v>434</v>
      </c>
      <c r="G10" t="s">
        <v>203</v>
      </c>
    </row>
    <row r="11" spans="1:9" x14ac:dyDescent="0.25">
      <c r="A11" s="1">
        <v>7</v>
      </c>
      <c r="B11" t="s">
        <v>44</v>
      </c>
      <c r="C11" s="5">
        <f>Wages!M10</f>
        <v>0</v>
      </c>
      <c r="D11" s="37">
        <v>6.2E-2</v>
      </c>
      <c r="E11" s="5">
        <v>0</v>
      </c>
      <c r="F11" s="5">
        <f t="shared" si="0"/>
        <v>0</v>
      </c>
    </row>
    <row r="12" spans="1:9" x14ac:dyDescent="0.25">
      <c r="A12" s="1">
        <v>8</v>
      </c>
      <c r="B12" t="s">
        <v>45</v>
      </c>
      <c r="C12" s="5">
        <f>Wages!M11</f>
        <v>35349.599999999999</v>
      </c>
      <c r="D12" s="37">
        <v>6.2E-2</v>
      </c>
      <c r="E12" s="5">
        <v>7000</v>
      </c>
      <c r="F12" s="5">
        <f t="shared" si="0"/>
        <v>434</v>
      </c>
    </row>
    <row r="13" spans="1:9" x14ac:dyDescent="0.25">
      <c r="A13" s="1">
        <v>9</v>
      </c>
      <c r="B13" t="s">
        <v>45</v>
      </c>
      <c r="C13" s="5">
        <f>Wages!M12</f>
        <v>35263.800000000003</v>
      </c>
      <c r="D13" s="37">
        <v>6.2E-2</v>
      </c>
      <c r="E13" s="5">
        <v>7000</v>
      </c>
      <c r="F13" s="5">
        <f t="shared" si="0"/>
        <v>434</v>
      </c>
    </row>
    <row r="14" spans="1:9" x14ac:dyDescent="0.25">
      <c r="A14" s="1">
        <v>10</v>
      </c>
      <c r="B14" t="s">
        <v>39</v>
      </c>
      <c r="C14" s="5">
        <f>Wages!M13</f>
        <v>24000</v>
      </c>
      <c r="D14" s="37">
        <v>6.2E-2</v>
      </c>
      <c r="E14" s="5">
        <v>7000</v>
      </c>
      <c r="F14" s="5">
        <f t="shared" si="0"/>
        <v>434</v>
      </c>
      <c r="G14" s="5"/>
    </row>
    <row r="15" spans="1:9" x14ac:dyDescent="0.25">
      <c r="A15" s="1">
        <v>11</v>
      </c>
      <c r="B15" t="s">
        <v>218</v>
      </c>
      <c r="C15" s="5">
        <f>Wages!M14</f>
        <v>105852</v>
      </c>
      <c r="D15" s="37">
        <v>6.2E-2</v>
      </c>
      <c r="E15" s="5">
        <v>7000</v>
      </c>
      <c r="F15" s="5">
        <f t="shared" si="0"/>
        <v>434</v>
      </c>
      <c r="G15" s="5"/>
    </row>
    <row r="16" spans="1:9" x14ac:dyDescent="0.25">
      <c r="A16" s="1">
        <v>12</v>
      </c>
      <c r="B16" t="s">
        <v>215</v>
      </c>
      <c r="C16" s="5">
        <f>Wages!M15</f>
        <v>63188.1</v>
      </c>
      <c r="D16" s="37">
        <v>6.2E-2</v>
      </c>
      <c r="E16" s="5">
        <v>7000</v>
      </c>
      <c r="F16" s="5">
        <f t="shared" si="0"/>
        <v>434</v>
      </c>
      <c r="G16" s="5"/>
    </row>
    <row r="17" spans="1:9" x14ac:dyDescent="0.25">
      <c r="A17" s="124">
        <v>13</v>
      </c>
      <c r="B17" t="s">
        <v>215</v>
      </c>
      <c r="C17" s="5">
        <f>Wages!M16</f>
        <v>56019</v>
      </c>
      <c r="D17" s="37">
        <v>6.2E-2</v>
      </c>
      <c r="E17" s="5">
        <v>7000</v>
      </c>
      <c r="F17" s="5">
        <f t="shared" ref="F17:F18" si="1">D17*E17</f>
        <v>434</v>
      </c>
      <c r="G17" s="5"/>
    </row>
    <row r="18" spans="1:9" x14ac:dyDescent="0.25">
      <c r="A18" s="177">
        <v>14</v>
      </c>
      <c r="B18" t="s">
        <v>215</v>
      </c>
      <c r="C18" s="179">
        <f>Wages!M17</f>
        <v>52633</v>
      </c>
      <c r="D18" s="37">
        <v>6.2E-2</v>
      </c>
      <c r="E18" s="179">
        <v>7000</v>
      </c>
      <c r="F18" s="179">
        <f t="shared" si="1"/>
        <v>434</v>
      </c>
      <c r="G18" s="179"/>
    </row>
    <row r="19" spans="1:9" x14ac:dyDescent="0.25">
      <c r="A19" s="177">
        <v>15</v>
      </c>
      <c r="B19" t="s">
        <v>219</v>
      </c>
      <c r="C19" s="5">
        <f>Wages!M18</f>
        <v>95532.32</v>
      </c>
      <c r="D19" s="37">
        <v>6.2E-2</v>
      </c>
      <c r="E19" s="5">
        <v>7000</v>
      </c>
      <c r="F19" s="5">
        <f t="shared" si="0"/>
        <v>434</v>
      </c>
      <c r="G19" s="5"/>
    </row>
    <row r="20" spans="1:9" x14ac:dyDescent="0.25">
      <c r="A20" s="177">
        <v>16</v>
      </c>
      <c r="B20" t="s">
        <v>216</v>
      </c>
      <c r="C20" s="5">
        <f>Wages!M19</f>
        <v>73937.240000000005</v>
      </c>
      <c r="D20" s="37">
        <v>6.2E-2</v>
      </c>
      <c r="E20" s="5">
        <v>7000</v>
      </c>
      <c r="F20" s="5">
        <f t="shared" si="0"/>
        <v>434</v>
      </c>
      <c r="G20" s="5"/>
    </row>
    <row r="21" spans="1:9" x14ac:dyDescent="0.25">
      <c r="A21" s="177">
        <v>17</v>
      </c>
      <c r="B21" t="s">
        <v>216</v>
      </c>
      <c r="C21" s="5">
        <f>Wages!M20</f>
        <v>75047.070000000007</v>
      </c>
      <c r="D21" s="37">
        <v>6.2E-2</v>
      </c>
      <c r="E21" s="5">
        <v>7000</v>
      </c>
      <c r="F21" s="5">
        <f t="shared" si="0"/>
        <v>434</v>
      </c>
      <c r="G21" s="5"/>
    </row>
    <row r="22" spans="1:9" x14ac:dyDescent="0.25">
      <c r="A22" s="177">
        <v>18</v>
      </c>
      <c r="B22" t="s">
        <v>220</v>
      </c>
      <c r="C22" s="5">
        <f>Wages!M21</f>
        <v>0</v>
      </c>
      <c r="D22" s="37">
        <v>6.2E-2</v>
      </c>
      <c r="E22" s="5">
        <v>0</v>
      </c>
      <c r="F22" s="5">
        <f t="shared" si="0"/>
        <v>0</v>
      </c>
      <c r="G22" s="5"/>
    </row>
    <row r="23" spans="1:9" x14ac:dyDescent="0.25">
      <c r="A23" s="177">
        <v>19</v>
      </c>
      <c r="I23" s="5"/>
    </row>
    <row r="24" spans="1:9" x14ac:dyDescent="0.25">
      <c r="A24" s="177">
        <v>20</v>
      </c>
      <c r="B24" s="8" t="s">
        <v>119</v>
      </c>
      <c r="C24" s="5">
        <f>SUM(C5:C23)</f>
        <v>813787.13000000012</v>
      </c>
      <c r="D24" s="41" t="s">
        <v>90</v>
      </c>
      <c r="E24" s="5">
        <f>SUM(E5:E23)</f>
        <v>105000</v>
      </c>
      <c r="F24" s="5">
        <f>SUM(F5:F23)</f>
        <v>6510</v>
      </c>
      <c r="G24" s="5"/>
      <c r="H24" s="5"/>
    </row>
    <row r="25" spans="1:9" x14ac:dyDescent="0.25">
      <c r="A25" s="177">
        <v>21</v>
      </c>
      <c r="B25" s="8"/>
      <c r="C25" s="5"/>
      <c r="D25" s="5"/>
      <c r="E25" s="5"/>
      <c r="H25" s="5"/>
    </row>
    <row r="26" spans="1:9" x14ac:dyDescent="0.25">
      <c r="A26" s="177">
        <v>22</v>
      </c>
      <c r="F26" s="1"/>
      <c r="G26" s="1"/>
    </row>
    <row r="27" spans="1:9" x14ac:dyDescent="0.25">
      <c r="A27" s="39"/>
      <c r="B27" s="17"/>
      <c r="C27" s="17"/>
      <c r="D27" s="17"/>
      <c r="E27" s="17"/>
      <c r="F27" s="17"/>
      <c r="G27" s="17"/>
      <c r="H27" s="17"/>
    </row>
    <row r="28" spans="1:9" x14ac:dyDescent="0.25">
      <c r="A28" s="1">
        <v>22</v>
      </c>
      <c r="F28" s="1"/>
      <c r="G28" s="1"/>
    </row>
    <row r="29" spans="1:9" x14ac:dyDescent="0.25">
      <c r="A29" s="1">
        <v>23</v>
      </c>
      <c r="B29" s="215" t="s">
        <v>99</v>
      </c>
      <c r="C29" s="215"/>
      <c r="D29" s="215"/>
      <c r="E29" s="215"/>
      <c r="F29" s="215"/>
    </row>
    <row r="30" spans="1:9" x14ac:dyDescent="0.25">
      <c r="A30" s="1">
        <v>24</v>
      </c>
      <c r="C30" s="1" t="s">
        <v>36</v>
      </c>
      <c r="D30" s="1" t="s">
        <v>37</v>
      </c>
      <c r="E30" s="1" t="s">
        <v>38</v>
      </c>
      <c r="F30" s="121" t="s">
        <v>226</v>
      </c>
      <c r="G30" s="1" t="s">
        <v>98</v>
      </c>
      <c r="H30" t="s">
        <v>262</v>
      </c>
    </row>
    <row r="31" spans="1:9" x14ac:dyDescent="0.25">
      <c r="A31" s="124">
        <v>25</v>
      </c>
      <c r="B31" t="s">
        <v>35</v>
      </c>
      <c r="C31" s="5">
        <f>F5*0.4</f>
        <v>173.60000000000002</v>
      </c>
      <c r="D31" s="5">
        <f>F5*0.4</f>
        <v>173.60000000000002</v>
      </c>
      <c r="E31" s="5">
        <f>F5*0.1</f>
        <v>43.400000000000006</v>
      </c>
      <c r="F31" s="122">
        <f>F5*0.1</f>
        <v>43.400000000000006</v>
      </c>
      <c r="G31" s="5">
        <f>SUM(C31:F31)</f>
        <v>434</v>
      </c>
    </row>
    <row r="32" spans="1:9" x14ac:dyDescent="0.25">
      <c r="A32" s="124">
        <v>26</v>
      </c>
      <c r="B32" t="s">
        <v>40</v>
      </c>
      <c r="C32" s="5">
        <f>F6*0.3</f>
        <v>130.19999999999999</v>
      </c>
      <c r="D32" s="5">
        <f>F6*0.3</f>
        <v>130.19999999999999</v>
      </c>
      <c r="E32" s="5">
        <f>F6*0.3</f>
        <v>130.19999999999999</v>
      </c>
      <c r="F32" s="122">
        <f>F6*0.1</f>
        <v>43.400000000000006</v>
      </c>
      <c r="G32" s="122">
        <f>SUM(C32:F32)</f>
        <v>434</v>
      </c>
    </row>
    <row r="33" spans="1:10" x14ac:dyDescent="0.25">
      <c r="A33" s="124">
        <v>27</v>
      </c>
      <c r="B33" t="s">
        <v>41</v>
      </c>
      <c r="C33" s="122">
        <f>F7*0.3</f>
        <v>130.19999999999999</v>
      </c>
      <c r="D33" s="122">
        <f>F7*0.3</f>
        <v>130.19999999999999</v>
      </c>
      <c r="E33" s="122">
        <f>F7*0.1</f>
        <v>43.400000000000006</v>
      </c>
      <c r="F33" s="122">
        <f>F7*0.3</f>
        <v>130.19999999999999</v>
      </c>
      <c r="G33" s="122">
        <f>SUM(C33:F33)</f>
        <v>433.99999999999994</v>
      </c>
    </row>
    <row r="34" spans="1:10" x14ac:dyDescent="0.25">
      <c r="A34" s="124">
        <v>28</v>
      </c>
      <c r="B34" t="s">
        <v>320</v>
      </c>
      <c r="C34" s="5">
        <f>F8*0.5</f>
        <v>217</v>
      </c>
      <c r="D34" s="5">
        <f>F8*0.5</f>
        <v>217</v>
      </c>
      <c r="E34" s="5"/>
      <c r="F34" s="122"/>
      <c r="G34" s="5">
        <v>0</v>
      </c>
      <c r="H34">
        <v>4340</v>
      </c>
    </row>
    <row r="35" spans="1:10" x14ac:dyDescent="0.25">
      <c r="A35" s="124">
        <v>29</v>
      </c>
      <c r="B35" t="s">
        <v>42</v>
      </c>
      <c r="C35" s="5">
        <f>F9*0.15</f>
        <v>0</v>
      </c>
      <c r="D35" s="5">
        <f>F9*0.15</f>
        <v>0</v>
      </c>
      <c r="E35" s="5">
        <f>F9*0.5</f>
        <v>0</v>
      </c>
      <c r="F35" s="122">
        <f>F9*0.2</f>
        <v>0</v>
      </c>
      <c r="G35" s="5">
        <f>SUM(C35:F35)</f>
        <v>0</v>
      </c>
    </row>
    <row r="36" spans="1:10" x14ac:dyDescent="0.25">
      <c r="A36" s="124">
        <v>30</v>
      </c>
      <c r="B36" t="s">
        <v>43</v>
      </c>
      <c r="C36" s="5">
        <f>F10*0.5</f>
        <v>217</v>
      </c>
      <c r="D36" s="5">
        <f>F10*0.5</f>
        <v>217</v>
      </c>
      <c r="F36" s="121"/>
      <c r="G36" s="5">
        <f t="shared" ref="G36:G44" si="2">SUM(C36:E36)</f>
        <v>434</v>
      </c>
    </row>
    <row r="37" spans="1:10" x14ac:dyDescent="0.25">
      <c r="A37" s="124">
        <v>31</v>
      </c>
      <c r="B37" t="s">
        <v>44</v>
      </c>
      <c r="C37" s="5">
        <f>F11*0.5</f>
        <v>0</v>
      </c>
      <c r="D37" s="5">
        <f>F11*0.5</f>
        <v>0</v>
      </c>
      <c r="F37" s="121"/>
      <c r="G37" s="5">
        <f t="shared" si="2"/>
        <v>0</v>
      </c>
    </row>
    <row r="38" spans="1:10" x14ac:dyDescent="0.25">
      <c r="A38" s="124">
        <v>32</v>
      </c>
      <c r="B38" t="s">
        <v>45</v>
      </c>
      <c r="C38" s="5">
        <f>F12*0.5</f>
        <v>217</v>
      </c>
      <c r="D38" s="5">
        <f>F12*0.5</f>
        <v>217</v>
      </c>
      <c r="F38" s="121"/>
      <c r="G38" s="5">
        <f t="shared" si="2"/>
        <v>434</v>
      </c>
    </row>
    <row r="39" spans="1:10" x14ac:dyDescent="0.25">
      <c r="A39" s="124">
        <v>33</v>
      </c>
      <c r="B39" t="s">
        <v>45</v>
      </c>
      <c r="C39" s="5">
        <f>F13*0.5</f>
        <v>217</v>
      </c>
      <c r="D39" s="5">
        <f>F13*0.5</f>
        <v>217</v>
      </c>
      <c r="F39" s="121"/>
      <c r="G39" s="5">
        <f t="shared" si="2"/>
        <v>434</v>
      </c>
    </row>
    <row r="40" spans="1:10" x14ac:dyDescent="0.25">
      <c r="A40" s="124">
        <v>34</v>
      </c>
      <c r="B40" t="s">
        <v>39</v>
      </c>
      <c r="E40" s="5">
        <f>F14</f>
        <v>434</v>
      </c>
      <c r="F40" s="122"/>
      <c r="G40" s="5">
        <f t="shared" si="2"/>
        <v>434</v>
      </c>
      <c r="I40" s="5"/>
    </row>
    <row r="41" spans="1:10" x14ac:dyDescent="0.25">
      <c r="A41" s="124">
        <v>35</v>
      </c>
      <c r="B41" t="s">
        <v>218</v>
      </c>
      <c r="E41" s="5">
        <f>F15</f>
        <v>434</v>
      </c>
      <c r="F41" s="122"/>
      <c r="G41" s="5">
        <f t="shared" si="2"/>
        <v>434</v>
      </c>
    </row>
    <row r="42" spans="1:10" x14ac:dyDescent="0.25">
      <c r="A42" s="124">
        <v>36</v>
      </c>
      <c r="B42" t="s">
        <v>215</v>
      </c>
      <c r="D42"/>
      <c r="E42" s="5">
        <f>F16</f>
        <v>434</v>
      </c>
      <c r="F42" s="122"/>
      <c r="G42" s="5">
        <f t="shared" si="2"/>
        <v>434</v>
      </c>
      <c r="I42" s="5"/>
      <c r="J42" s="5"/>
    </row>
    <row r="43" spans="1:10" x14ac:dyDescent="0.25">
      <c r="A43" s="124">
        <v>37</v>
      </c>
      <c r="B43" t="s">
        <v>215</v>
      </c>
      <c r="D43"/>
      <c r="E43" s="5">
        <f>F17</f>
        <v>434</v>
      </c>
      <c r="F43" s="122"/>
      <c r="G43" s="5">
        <f t="shared" si="2"/>
        <v>434</v>
      </c>
      <c r="I43" s="5"/>
      <c r="J43" s="5"/>
    </row>
    <row r="44" spans="1:10" x14ac:dyDescent="0.25">
      <c r="A44" s="177">
        <v>38</v>
      </c>
      <c r="B44" t="s">
        <v>215</v>
      </c>
      <c r="D44"/>
      <c r="E44" s="179">
        <f>F18</f>
        <v>434</v>
      </c>
      <c r="F44" s="179"/>
      <c r="G44" s="179">
        <f t="shared" si="2"/>
        <v>434</v>
      </c>
      <c r="I44" s="179"/>
      <c r="J44" s="179"/>
    </row>
    <row r="45" spans="1:10" x14ac:dyDescent="0.25">
      <c r="A45" s="177">
        <v>39</v>
      </c>
      <c r="B45" t="s">
        <v>219</v>
      </c>
      <c r="D45"/>
      <c r="E45" s="5"/>
      <c r="F45" s="122">
        <f>F19</f>
        <v>434</v>
      </c>
      <c r="G45" s="5">
        <f>SUM(C45:F45)</f>
        <v>434</v>
      </c>
    </row>
    <row r="46" spans="1:10" x14ac:dyDescent="0.25">
      <c r="A46" s="177">
        <v>40</v>
      </c>
      <c r="B46" t="s">
        <v>216</v>
      </c>
      <c r="E46" s="122"/>
      <c r="F46" s="128">
        <f>F20</f>
        <v>434</v>
      </c>
      <c r="G46" s="122">
        <f t="shared" ref="G46:G48" si="3">SUM(C46:F46)</f>
        <v>434</v>
      </c>
    </row>
    <row r="47" spans="1:10" x14ac:dyDescent="0.25">
      <c r="A47" s="177">
        <v>41</v>
      </c>
      <c r="B47" t="s">
        <v>216</v>
      </c>
      <c r="E47" s="122"/>
      <c r="F47" s="128">
        <f>F21</f>
        <v>434</v>
      </c>
      <c r="G47" s="122">
        <f t="shared" si="3"/>
        <v>434</v>
      </c>
    </row>
    <row r="48" spans="1:10" x14ac:dyDescent="0.25">
      <c r="A48" s="177">
        <v>42</v>
      </c>
      <c r="B48" t="s">
        <v>220</v>
      </c>
      <c r="E48" s="122"/>
      <c r="F48" s="128">
        <f>F22</f>
        <v>0</v>
      </c>
      <c r="G48" s="122">
        <f t="shared" si="3"/>
        <v>0</v>
      </c>
    </row>
    <row r="49" spans="1:8" x14ac:dyDescent="0.25">
      <c r="A49" s="177">
        <v>43</v>
      </c>
      <c r="B49" s="47" t="s">
        <v>260</v>
      </c>
      <c r="C49" s="5"/>
      <c r="D49" s="5"/>
      <c r="E49" s="5">
        <v>2170</v>
      </c>
      <c r="F49" s="122"/>
      <c r="G49" s="154">
        <v>0</v>
      </c>
    </row>
    <row r="50" spans="1:8" x14ac:dyDescent="0.25">
      <c r="A50" s="177">
        <v>44</v>
      </c>
      <c r="B50" s="47" t="s">
        <v>261</v>
      </c>
      <c r="C50" s="152"/>
      <c r="D50" s="152"/>
      <c r="E50" s="152"/>
      <c r="F50" s="152">
        <v>2170</v>
      </c>
      <c r="G50" s="154">
        <v>0</v>
      </c>
    </row>
    <row r="51" spans="1:8" x14ac:dyDescent="0.25">
      <c r="A51" s="177">
        <v>45</v>
      </c>
      <c r="B51" s="8" t="s">
        <v>131</v>
      </c>
      <c r="C51" s="5">
        <f>SUM(C31:C49)</f>
        <v>1302</v>
      </c>
      <c r="D51" s="5">
        <f>SUM(D31:D49)</f>
        <v>1302</v>
      </c>
      <c r="E51" s="5">
        <f>SUM(E31:E49)</f>
        <v>4557</v>
      </c>
      <c r="F51" s="122">
        <f>SUM(F31:F50)</f>
        <v>3689</v>
      </c>
      <c r="G51" s="5">
        <f>SUM(G31:G50)</f>
        <v>6076</v>
      </c>
      <c r="H51">
        <f>SUM(H31:H50)</f>
        <v>4340</v>
      </c>
    </row>
    <row r="52" spans="1:8" x14ac:dyDescent="0.25">
      <c r="A52" s="177">
        <v>46</v>
      </c>
      <c r="G52" s="4"/>
    </row>
    <row r="53" spans="1:8" x14ac:dyDescent="0.25">
      <c r="A53" s="177">
        <v>47</v>
      </c>
      <c r="E53" s="8" t="s">
        <v>132</v>
      </c>
      <c r="F53" s="42">
        <f>SUM(C51:F51)</f>
        <v>10850</v>
      </c>
    </row>
  </sheetData>
  <sheetProtection selectLockedCells="1" selectUnlockedCells="1"/>
  <mergeCells count="2">
    <mergeCell ref="A1:F1"/>
    <mergeCell ref="B29:F29"/>
  </mergeCells>
  <printOptions horizontalCentered="1" headings="1"/>
  <pageMargins left="0" right="0" top="1.25" bottom="0" header="0.3" footer="0.3"/>
  <pageSetup scale="81" orientation="portrait" horizontalDpi="4294967293" verticalDpi="4294967293" r:id="rId1"/>
  <headerFooter>
    <oddHeader xml:space="preserve">&amp;LDraft1 - Mar 2020&amp;C&amp;"Times New Roman,Bold"&amp;20Chester Public Utility District
FY 22-23 &amp;RPage 7
</oddHeader>
  </headerFooter>
  <ignoredErrors>
    <ignoredError sqref="F51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view="pageLayout" zoomScaleNormal="100" workbookViewId="0">
      <selection activeCell="C9" sqref="C9"/>
    </sheetView>
  </sheetViews>
  <sheetFormatPr defaultRowHeight="15.75" x14ac:dyDescent="0.25"/>
  <cols>
    <col min="1" max="1" width="5.625" style="1" customWidth="1"/>
    <col min="2" max="2" width="14.5" bestFit="1" customWidth="1"/>
    <col min="3" max="3" width="16.125" bestFit="1" customWidth="1"/>
    <col min="4" max="5" width="9" style="1"/>
    <col min="6" max="6" width="10.625" style="1" customWidth="1"/>
    <col min="7" max="8" width="9" style="1"/>
    <col min="9" max="9" width="10.625" style="1" customWidth="1"/>
    <col min="10" max="11" width="9" style="1"/>
  </cols>
  <sheetData>
    <row r="1" spans="1:10" x14ac:dyDescent="0.25">
      <c r="A1" s="230" t="s">
        <v>287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0" x14ac:dyDescent="0.25">
      <c r="A2" s="215"/>
      <c r="B2" s="215"/>
      <c r="C2" s="215"/>
      <c r="D2" s="215"/>
      <c r="E2" s="215"/>
      <c r="F2" s="215"/>
      <c r="G2" s="215"/>
      <c r="H2" s="215"/>
      <c r="I2" s="215"/>
      <c r="J2" s="215"/>
    </row>
    <row r="3" spans="1:10" x14ac:dyDescent="0.25">
      <c r="F3" s="215"/>
      <c r="G3" s="215"/>
      <c r="H3" s="215"/>
      <c r="I3" s="215"/>
      <c r="J3" s="215"/>
    </row>
    <row r="4" spans="1:10" ht="31.5" x14ac:dyDescent="0.25">
      <c r="A4" s="1">
        <v>1</v>
      </c>
      <c r="C4" s="1" t="s">
        <v>145</v>
      </c>
      <c r="D4" s="1" t="s">
        <v>154</v>
      </c>
      <c r="E4" s="45" t="s">
        <v>155</v>
      </c>
      <c r="F4" s="45" t="s">
        <v>36</v>
      </c>
      <c r="G4" s="44" t="s">
        <v>37</v>
      </c>
      <c r="H4" s="44" t="s">
        <v>38</v>
      </c>
      <c r="I4" s="44" t="s">
        <v>226</v>
      </c>
      <c r="J4" s="45" t="s">
        <v>73</v>
      </c>
    </row>
    <row r="5" spans="1:10" x14ac:dyDescent="0.25">
      <c r="A5" s="1">
        <v>2</v>
      </c>
      <c r="B5" t="s">
        <v>146</v>
      </c>
      <c r="C5" t="s">
        <v>147</v>
      </c>
      <c r="D5" s="5">
        <f>SUM(E5:J5)</f>
        <v>160370</v>
      </c>
      <c r="E5" s="165">
        <v>26070</v>
      </c>
      <c r="F5" s="165">
        <v>92000</v>
      </c>
      <c r="G5" s="165">
        <v>29300</v>
      </c>
      <c r="H5" s="165">
        <v>6500</v>
      </c>
      <c r="I5" s="165">
        <v>6500</v>
      </c>
      <c r="J5" s="63"/>
    </row>
    <row r="6" spans="1:10" x14ac:dyDescent="0.25">
      <c r="A6" s="1">
        <v>3</v>
      </c>
      <c r="B6" t="s">
        <v>142</v>
      </c>
      <c r="C6" t="s">
        <v>148</v>
      </c>
      <c r="D6" s="5">
        <f t="shared" ref="D6:D11" si="0">SUM(E6:J6)</f>
        <v>8040</v>
      </c>
      <c r="E6" s="167"/>
      <c r="F6" s="165">
        <v>3690</v>
      </c>
      <c r="G6" s="165">
        <v>1350</v>
      </c>
      <c r="H6" s="165">
        <v>1500</v>
      </c>
      <c r="I6" s="165">
        <v>1500</v>
      </c>
      <c r="J6" s="63"/>
    </row>
    <row r="7" spans="1:10" x14ac:dyDescent="0.25">
      <c r="A7" s="1">
        <v>4</v>
      </c>
      <c r="B7" t="s">
        <v>153</v>
      </c>
      <c r="C7" t="s">
        <v>149</v>
      </c>
      <c r="D7" s="5">
        <f t="shared" si="0"/>
        <v>8600</v>
      </c>
      <c r="E7" s="167"/>
      <c r="F7" s="165">
        <v>2150</v>
      </c>
      <c r="G7" s="165">
        <v>2150</v>
      </c>
      <c r="H7" s="165">
        <v>2200</v>
      </c>
      <c r="I7" s="165">
        <v>2100</v>
      </c>
      <c r="J7" s="63"/>
    </row>
    <row r="8" spans="1:10" x14ac:dyDescent="0.25">
      <c r="A8" s="1">
        <v>5</v>
      </c>
      <c r="B8" t="s">
        <v>143</v>
      </c>
      <c r="C8" t="s">
        <v>150</v>
      </c>
      <c r="D8" s="5">
        <f t="shared" si="0"/>
        <v>1200</v>
      </c>
      <c r="E8" s="167"/>
      <c r="F8" s="165">
        <v>170</v>
      </c>
      <c r="G8" s="165">
        <v>525</v>
      </c>
      <c r="H8" s="165">
        <v>350</v>
      </c>
      <c r="I8" s="165">
        <v>155</v>
      </c>
      <c r="J8" s="63"/>
    </row>
    <row r="9" spans="1:10" x14ac:dyDescent="0.25">
      <c r="A9" s="1">
        <v>6</v>
      </c>
      <c r="B9" t="s">
        <v>144</v>
      </c>
      <c r="C9" t="s">
        <v>279</v>
      </c>
      <c r="D9" s="5">
        <f t="shared" si="0"/>
        <v>1570</v>
      </c>
      <c r="E9" s="167"/>
      <c r="F9" s="165">
        <v>270</v>
      </c>
      <c r="G9" s="165">
        <v>180</v>
      </c>
      <c r="H9" s="165">
        <v>500</v>
      </c>
      <c r="I9" s="165">
        <v>500</v>
      </c>
      <c r="J9" s="165">
        <v>120</v>
      </c>
    </row>
    <row r="10" spans="1:10" x14ac:dyDescent="0.25">
      <c r="A10" s="1">
        <v>7</v>
      </c>
      <c r="D10" s="5"/>
      <c r="E10" s="167"/>
      <c r="F10" s="63"/>
      <c r="G10" s="63"/>
      <c r="H10" s="63"/>
      <c r="I10" s="63"/>
      <c r="J10" s="63"/>
    </row>
    <row r="11" spans="1:10" x14ac:dyDescent="0.25">
      <c r="A11" s="1">
        <v>8</v>
      </c>
      <c r="B11" t="s">
        <v>151</v>
      </c>
      <c r="C11" t="s">
        <v>152</v>
      </c>
      <c r="D11" s="5">
        <f t="shared" si="0"/>
        <v>1510</v>
      </c>
      <c r="E11" s="167"/>
      <c r="F11" s="63"/>
      <c r="G11" s="63"/>
      <c r="H11" s="165">
        <v>755</v>
      </c>
      <c r="I11" s="165">
        <v>755</v>
      </c>
      <c r="J11" s="63"/>
    </row>
    <row r="12" spans="1:10" x14ac:dyDescent="0.25">
      <c r="A12" s="1">
        <v>9</v>
      </c>
      <c r="E12" s="46">
        <f t="shared" ref="E12:J12" si="1">SUM(E5:E11)</f>
        <v>26070</v>
      </c>
      <c r="F12" s="46">
        <f t="shared" si="1"/>
        <v>98280</v>
      </c>
      <c r="G12" s="46">
        <f t="shared" si="1"/>
        <v>33505</v>
      </c>
      <c r="H12" s="46">
        <f t="shared" si="1"/>
        <v>11805</v>
      </c>
      <c r="I12" s="46">
        <f t="shared" si="1"/>
        <v>11510</v>
      </c>
      <c r="J12" s="46">
        <f t="shared" si="1"/>
        <v>120</v>
      </c>
    </row>
    <row r="13" spans="1:10" x14ac:dyDescent="0.25">
      <c r="A13" s="1">
        <v>10</v>
      </c>
    </row>
    <row r="14" spans="1:10" x14ac:dyDescent="0.25">
      <c r="A14" s="1">
        <v>11</v>
      </c>
      <c r="C14" s="8" t="s">
        <v>156</v>
      </c>
      <c r="D14" s="5">
        <f>SUM(D5:D11)</f>
        <v>181290</v>
      </c>
      <c r="E14" s="5"/>
      <c r="H14" s="8" t="s">
        <v>132</v>
      </c>
      <c r="I14" s="8"/>
      <c r="J14" s="5">
        <f>SUM(E12:J12)</f>
        <v>181290</v>
      </c>
    </row>
    <row r="15" spans="1:10" x14ac:dyDescent="0.25">
      <c r="A15" s="1">
        <v>12</v>
      </c>
    </row>
    <row r="16" spans="1:10" x14ac:dyDescent="0.25">
      <c r="A16" s="1">
        <v>13</v>
      </c>
    </row>
    <row r="17" spans="1:14" x14ac:dyDescent="0.25">
      <c r="A17" s="1">
        <v>14</v>
      </c>
      <c r="B17" s="230" t="s">
        <v>289</v>
      </c>
      <c r="C17" s="230"/>
      <c r="D17" s="230"/>
      <c r="E17" s="230"/>
      <c r="F17" s="230"/>
      <c r="G17" s="230"/>
      <c r="H17" s="230"/>
      <c r="I17" s="2"/>
      <c r="J17"/>
    </row>
    <row r="18" spans="1:14" x14ac:dyDescent="0.25">
      <c r="A18" s="1">
        <v>15</v>
      </c>
      <c r="B18" s="1"/>
      <c r="C18" s="1"/>
      <c r="F18" s="241"/>
      <c r="G18" s="241"/>
      <c r="H18" s="241"/>
    </row>
    <row r="19" spans="1:14" ht="31.5" x14ac:dyDescent="0.25">
      <c r="A19" s="1">
        <v>16</v>
      </c>
      <c r="D19" s="1" t="s">
        <v>154</v>
      </c>
      <c r="F19" s="44" t="s">
        <v>36</v>
      </c>
      <c r="G19" s="44" t="s">
        <v>37</v>
      </c>
      <c r="H19" s="44" t="s">
        <v>38</v>
      </c>
      <c r="I19" s="44" t="s">
        <v>226</v>
      </c>
      <c r="J19" s="45" t="s">
        <v>73</v>
      </c>
      <c r="L19" s="1"/>
      <c r="N19" s="151"/>
    </row>
    <row r="20" spans="1:14" ht="39" x14ac:dyDescent="0.25">
      <c r="A20" s="1">
        <v>17</v>
      </c>
      <c r="B20" s="48" t="s">
        <v>159</v>
      </c>
      <c r="C20" s="49" t="s">
        <v>162</v>
      </c>
      <c r="D20" s="5">
        <f>SUM(F20:J20)</f>
        <v>18550</v>
      </c>
      <c r="E20" s="5"/>
      <c r="F20" s="165">
        <v>4525</v>
      </c>
      <c r="G20" s="165">
        <v>4525</v>
      </c>
      <c r="H20" s="165">
        <v>6800</v>
      </c>
      <c r="I20" s="165">
        <v>2700</v>
      </c>
      <c r="J20" s="165">
        <v>0</v>
      </c>
      <c r="L20" s="1"/>
      <c r="N20" s="151"/>
    </row>
    <row r="21" spans="1:14" x14ac:dyDescent="0.25">
      <c r="A21" s="1">
        <v>18</v>
      </c>
      <c r="B21" s="48" t="s">
        <v>160</v>
      </c>
      <c r="C21" s="50" t="s">
        <v>290</v>
      </c>
      <c r="D21" s="5">
        <f t="shared" ref="D21:D24" si="2">SUM(F21:J21)</f>
        <v>17200</v>
      </c>
      <c r="E21" s="5"/>
      <c r="F21" s="165">
        <v>2600</v>
      </c>
      <c r="G21" s="165">
        <v>2600</v>
      </c>
      <c r="H21" s="165">
        <v>8350</v>
      </c>
      <c r="I21" s="165">
        <v>3650</v>
      </c>
      <c r="J21" s="63"/>
      <c r="L21" s="1"/>
    </row>
    <row r="22" spans="1:14" x14ac:dyDescent="0.25">
      <c r="A22" s="1">
        <v>19</v>
      </c>
      <c r="B22" t="s">
        <v>161</v>
      </c>
      <c r="C22" s="47" t="s">
        <v>163</v>
      </c>
      <c r="D22" s="5">
        <f t="shared" si="2"/>
        <v>0</v>
      </c>
      <c r="E22" s="5"/>
      <c r="F22" s="63">
        <v>0</v>
      </c>
      <c r="G22" s="63">
        <v>0</v>
      </c>
      <c r="H22" s="63">
        <v>0</v>
      </c>
      <c r="I22" s="63">
        <v>0</v>
      </c>
      <c r="J22" s="63"/>
      <c r="L22" s="1"/>
    </row>
    <row r="23" spans="1:14" x14ac:dyDescent="0.25">
      <c r="A23" s="1">
        <v>20</v>
      </c>
      <c r="B23" t="s">
        <v>167</v>
      </c>
      <c r="C23" s="47" t="s">
        <v>164</v>
      </c>
      <c r="D23" s="5">
        <f t="shared" si="2"/>
        <v>0</v>
      </c>
      <c r="E23" s="5"/>
      <c r="F23" s="63">
        <v>0</v>
      </c>
      <c r="G23" s="63">
        <v>0</v>
      </c>
      <c r="H23" s="63">
        <v>0</v>
      </c>
      <c r="I23" s="63">
        <v>0</v>
      </c>
      <c r="J23" s="63">
        <v>0</v>
      </c>
      <c r="L23" s="1"/>
    </row>
    <row r="24" spans="1:14" x14ac:dyDescent="0.25">
      <c r="A24" s="1">
        <v>21</v>
      </c>
      <c r="B24" t="s">
        <v>165</v>
      </c>
      <c r="C24" t="s">
        <v>166</v>
      </c>
      <c r="D24" s="5">
        <f t="shared" si="2"/>
        <v>3500</v>
      </c>
      <c r="E24" s="5"/>
      <c r="F24" s="165"/>
      <c r="G24" s="166"/>
      <c r="H24" s="165">
        <v>500</v>
      </c>
      <c r="I24" s="166"/>
      <c r="J24" s="165">
        <v>3000</v>
      </c>
      <c r="L24" s="1"/>
    </row>
    <row r="25" spans="1:14" x14ac:dyDescent="0.25">
      <c r="A25" s="1">
        <v>22</v>
      </c>
      <c r="D25" s="5"/>
      <c r="E25" s="5"/>
      <c r="F25" s="46"/>
      <c r="G25" s="44"/>
      <c r="H25" s="44"/>
      <c r="I25" s="44"/>
      <c r="J25" s="46"/>
      <c r="L25" s="1"/>
    </row>
    <row r="26" spans="1:14" x14ac:dyDescent="0.25">
      <c r="A26" s="1">
        <v>23</v>
      </c>
      <c r="D26" s="5"/>
      <c r="E26" s="5"/>
      <c r="F26" s="46">
        <f t="shared" ref="F26:J26" si="3">SUM(F20:F25)</f>
        <v>7125</v>
      </c>
      <c r="G26" s="46">
        <f t="shared" si="3"/>
        <v>7125</v>
      </c>
      <c r="H26" s="46">
        <f t="shared" si="3"/>
        <v>15650</v>
      </c>
      <c r="I26" s="46">
        <f t="shared" si="3"/>
        <v>6350</v>
      </c>
      <c r="J26" s="46">
        <f t="shared" si="3"/>
        <v>3000</v>
      </c>
      <c r="L26" s="1"/>
    </row>
    <row r="27" spans="1:14" x14ac:dyDescent="0.25">
      <c r="A27" s="1">
        <v>24</v>
      </c>
    </row>
    <row r="28" spans="1:14" x14ac:dyDescent="0.25">
      <c r="A28" s="1">
        <v>25</v>
      </c>
      <c r="C28" t="s">
        <v>168</v>
      </c>
      <c r="D28" s="5">
        <f>SUM(D20:D26)</f>
        <v>39250</v>
      </c>
      <c r="E28" s="5"/>
      <c r="G28" s="8"/>
      <c r="H28" s="5"/>
      <c r="I28" s="5"/>
    </row>
  </sheetData>
  <sheetProtection selectLockedCells="1"/>
  <mergeCells count="5">
    <mergeCell ref="B17:H17"/>
    <mergeCell ref="F18:H18"/>
    <mergeCell ref="A1:J1"/>
    <mergeCell ref="A2:J2"/>
    <mergeCell ref="F3:J3"/>
  </mergeCells>
  <printOptions horizontalCentered="1" headings="1"/>
  <pageMargins left="0" right="0" top="1" bottom="0" header="0.3" footer="0.3"/>
  <pageSetup orientation="landscape" r:id="rId1"/>
  <headerFooter>
    <oddHeader xml:space="preserve">&amp;CChester Public Utility District
FY 22-23 &amp;RPage 8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view="pageLayout" zoomScaleNormal="100" workbookViewId="0">
      <selection activeCell="C13" sqref="C13"/>
    </sheetView>
  </sheetViews>
  <sheetFormatPr defaultRowHeight="15.75" x14ac:dyDescent="0.25"/>
  <cols>
    <col min="1" max="1" width="3.625" style="1" customWidth="1"/>
    <col min="2" max="2" width="25.625" customWidth="1"/>
    <col min="8" max="8" width="9.375" bestFit="1" customWidth="1"/>
  </cols>
  <sheetData>
    <row r="1" spans="1:8" x14ac:dyDescent="0.25">
      <c r="A1" s="230" t="s">
        <v>288</v>
      </c>
      <c r="B1" s="230"/>
      <c r="C1" s="230"/>
      <c r="D1" s="230"/>
      <c r="E1" s="230"/>
      <c r="F1" s="230"/>
      <c r="G1" s="230"/>
      <c r="H1" s="230"/>
    </row>
    <row r="2" spans="1:8" x14ac:dyDescent="0.25">
      <c r="D2" s="241" t="s">
        <v>157</v>
      </c>
      <c r="E2" s="241"/>
      <c r="F2" s="241"/>
      <c r="G2" s="241"/>
      <c r="H2" s="241"/>
    </row>
    <row r="3" spans="1:8" ht="31.5" x14ac:dyDescent="0.25">
      <c r="D3" s="44" t="s">
        <v>36</v>
      </c>
      <c r="E3" s="44" t="s">
        <v>37</v>
      </c>
      <c r="F3" s="44" t="s">
        <v>38</v>
      </c>
      <c r="G3" s="45" t="s">
        <v>73</v>
      </c>
      <c r="H3" s="126" t="s">
        <v>226</v>
      </c>
    </row>
    <row r="4" spans="1:8" x14ac:dyDescent="0.25">
      <c r="A4" s="1">
        <v>1</v>
      </c>
      <c r="B4" t="s">
        <v>35</v>
      </c>
      <c r="C4" s="65">
        <v>0</v>
      </c>
      <c r="D4" s="73">
        <f>C4*0.45</f>
        <v>0</v>
      </c>
      <c r="E4" s="52">
        <f>C4*0.45</f>
        <v>0</v>
      </c>
      <c r="F4" s="52">
        <f>C4*0.05</f>
        <v>0</v>
      </c>
      <c r="G4" s="157">
        <f>C4*0.05</f>
        <v>0</v>
      </c>
      <c r="H4" s="51"/>
    </row>
    <row r="5" spans="1:8" x14ac:dyDescent="0.25">
      <c r="A5" s="1">
        <v>2</v>
      </c>
      <c r="B5" t="s">
        <v>40</v>
      </c>
      <c r="C5" s="65">
        <v>400</v>
      </c>
      <c r="D5" s="73">
        <f>C5*0.3</f>
        <v>120</v>
      </c>
      <c r="E5" s="52">
        <f>C5*0.3</f>
        <v>120</v>
      </c>
      <c r="F5" s="52">
        <f>C5*0.3</f>
        <v>120</v>
      </c>
      <c r="G5" s="52">
        <v>0</v>
      </c>
      <c r="H5" s="51">
        <v>40</v>
      </c>
    </row>
    <row r="6" spans="1:8" x14ac:dyDescent="0.25">
      <c r="A6" s="1">
        <v>3</v>
      </c>
      <c r="B6" t="s">
        <v>41</v>
      </c>
      <c r="C6" s="65">
        <v>400</v>
      </c>
      <c r="D6" s="73">
        <f>C6*0.3</f>
        <v>120</v>
      </c>
      <c r="E6" s="52">
        <f>C6*0.3</f>
        <v>120</v>
      </c>
      <c r="F6" s="52">
        <f>C6*0.1</f>
        <v>40</v>
      </c>
      <c r="G6" s="52">
        <v>0</v>
      </c>
      <c r="H6" s="51">
        <v>120</v>
      </c>
    </row>
    <row r="7" spans="1:8" x14ac:dyDescent="0.25">
      <c r="A7" s="1">
        <v>4</v>
      </c>
      <c r="C7" s="65"/>
      <c r="D7" s="73"/>
      <c r="E7" s="52"/>
      <c r="F7" s="52"/>
      <c r="G7" s="52"/>
      <c r="H7" s="51"/>
    </row>
    <row r="8" spans="1:8" x14ac:dyDescent="0.25">
      <c r="A8" s="1">
        <v>5</v>
      </c>
      <c r="B8" t="s">
        <v>42</v>
      </c>
      <c r="C8" s="65">
        <v>0</v>
      </c>
      <c r="D8" s="73">
        <f>C8*0.15</f>
        <v>0</v>
      </c>
      <c r="E8" s="52">
        <f>C8*0.15</f>
        <v>0</v>
      </c>
      <c r="F8" s="52">
        <f>C8*0.7</f>
        <v>0</v>
      </c>
      <c r="G8" s="52"/>
      <c r="H8" s="51"/>
    </row>
    <row r="9" spans="1:8" x14ac:dyDescent="0.25">
      <c r="A9" s="1">
        <v>6</v>
      </c>
      <c r="B9" t="s">
        <v>43</v>
      </c>
      <c r="C9" s="65">
        <v>1000</v>
      </c>
      <c r="D9" s="73">
        <f>C9*0.5</f>
        <v>500</v>
      </c>
      <c r="E9" s="52">
        <f>C9*0.5</f>
        <v>500</v>
      </c>
      <c r="F9" s="52"/>
      <c r="G9" s="52"/>
      <c r="H9" s="51"/>
    </row>
    <row r="10" spans="1:8" x14ac:dyDescent="0.25">
      <c r="A10" s="1">
        <v>7</v>
      </c>
      <c r="B10" t="s">
        <v>44</v>
      </c>
      <c r="C10" s="65">
        <v>0</v>
      </c>
      <c r="D10" s="73">
        <f t="shared" ref="D10:D12" si="0">C10*0.5</f>
        <v>0</v>
      </c>
      <c r="E10" s="52">
        <f t="shared" ref="E10:E11" si="1">C10*0.5</f>
        <v>0</v>
      </c>
      <c r="F10" s="52"/>
      <c r="G10" s="52"/>
      <c r="H10" s="51"/>
    </row>
    <row r="11" spans="1:8" x14ac:dyDescent="0.25">
      <c r="A11" s="1">
        <v>8</v>
      </c>
      <c r="B11" t="s">
        <v>45</v>
      </c>
      <c r="C11" s="65">
        <v>1000</v>
      </c>
      <c r="D11" s="73">
        <f t="shared" si="0"/>
        <v>500</v>
      </c>
      <c r="E11" s="52">
        <f t="shared" si="1"/>
        <v>500</v>
      </c>
      <c r="F11" s="52"/>
      <c r="G11" s="52"/>
      <c r="H11" s="51"/>
    </row>
    <row r="12" spans="1:8" x14ac:dyDescent="0.25">
      <c r="A12" s="1">
        <v>9</v>
      </c>
      <c r="B12" t="s">
        <v>45</v>
      </c>
      <c r="C12" s="65">
        <v>1000</v>
      </c>
      <c r="D12" s="73">
        <f t="shared" si="0"/>
        <v>500</v>
      </c>
      <c r="E12" s="52">
        <f t="shared" ref="E12" si="2">C12*0.5</f>
        <v>500</v>
      </c>
      <c r="F12" s="52"/>
      <c r="G12" s="52"/>
      <c r="H12" s="51"/>
    </row>
    <row r="13" spans="1:8" x14ac:dyDescent="0.25">
      <c r="A13" s="1">
        <v>10</v>
      </c>
      <c r="B13" t="s">
        <v>39</v>
      </c>
      <c r="C13" s="65">
        <v>400</v>
      </c>
      <c r="D13" s="73"/>
      <c r="E13" s="52"/>
      <c r="F13" s="52">
        <v>400</v>
      </c>
      <c r="G13" s="52"/>
      <c r="H13" s="52"/>
    </row>
    <row r="14" spans="1:8" x14ac:dyDescent="0.25">
      <c r="A14" s="1">
        <v>11</v>
      </c>
      <c r="B14" t="s">
        <v>231</v>
      </c>
      <c r="C14" s="65">
        <v>1100</v>
      </c>
      <c r="D14" s="73"/>
      <c r="E14" s="52"/>
      <c r="F14" s="52">
        <v>1100</v>
      </c>
      <c r="G14" s="52"/>
      <c r="H14" s="52"/>
    </row>
    <row r="15" spans="1:8" x14ac:dyDescent="0.25">
      <c r="A15" s="1">
        <v>12</v>
      </c>
      <c r="B15" t="s">
        <v>232</v>
      </c>
      <c r="C15" s="65">
        <v>1100</v>
      </c>
      <c r="D15" s="73"/>
      <c r="E15" s="52"/>
      <c r="F15" s="52">
        <v>1100</v>
      </c>
      <c r="G15" s="52"/>
      <c r="H15" s="52"/>
    </row>
    <row r="16" spans="1:8" x14ac:dyDescent="0.25">
      <c r="A16" s="124">
        <v>13</v>
      </c>
      <c r="B16" t="s">
        <v>232</v>
      </c>
      <c r="C16" s="65">
        <v>1100</v>
      </c>
      <c r="D16" s="73"/>
      <c r="E16" s="52"/>
      <c r="F16" s="52">
        <v>1100</v>
      </c>
      <c r="G16" s="52"/>
      <c r="H16" s="52"/>
    </row>
    <row r="17" spans="1:8" x14ac:dyDescent="0.25">
      <c r="A17" s="187">
        <v>14</v>
      </c>
      <c r="B17" t="s">
        <v>232</v>
      </c>
      <c r="C17" s="65">
        <v>1100</v>
      </c>
      <c r="D17" s="73"/>
      <c r="E17" s="52"/>
      <c r="F17" s="52">
        <v>1100</v>
      </c>
      <c r="G17" s="52"/>
      <c r="H17" s="52"/>
    </row>
    <row r="18" spans="1:8" x14ac:dyDescent="0.25">
      <c r="A18" s="187">
        <v>15</v>
      </c>
      <c r="B18" t="s">
        <v>216</v>
      </c>
      <c r="C18" s="65">
        <v>1100</v>
      </c>
      <c r="D18" s="73"/>
      <c r="E18" s="52"/>
      <c r="F18" s="52"/>
      <c r="G18" s="52"/>
      <c r="H18" s="52">
        <v>1100</v>
      </c>
    </row>
    <row r="19" spans="1:8" x14ac:dyDescent="0.25">
      <c r="A19" s="187">
        <v>16</v>
      </c>
      <c r="B19" t="s">
        <v>217</v>
      </c>
      <c r="C19" s="65">
        <v>1100</v>
      </c>
      <c r="D19" s="73"/>
      <c r="E19" s="52"/>
      <c r="F19" s="52"/>
      <c r="G19" s="52"/>
      <c r="H19" s="52">
        <v>1100</v>
      </c>
    </row>
    <row r="20" spans="1:8" x14ac:dyDescent="0.25">
      <c r="A20" s="187">
        <v>17</v>
      </c>
      <c r="B20" t="s">
        <v>216</v>
      </c>
      <c r="C20" s="65">
        <v>1100</v>
      </c>
      <c r="D20" s="73"/>
      <c r="E20" s="52"/>
      <c r="F20" s="52"/>
      <c r="G20" s="52"/>
      <c r="H20" s="52">
        <v>1100</v>
      </c>
    </row>
    <row r="21" spans="1:8" x14ac:dyDescent="0.25">
      <c r="A21" s="187">
        <v>18</v>
      </c>
      <c r="B21" t="s">
        <v>217</v>
      </c>
      <c r="C21" s="65">
        <v>0</v>
      </c>
      <c r="D21" s="73"/>
      <c r="E21" s="52"/>
      <c r="F21" s="52"/>
      <c r="G21" s="52"/>
      <c r="H21" s="52">
        <v>0</v>
      </c>
    </row>
    <row r="22" spans="1:8" x14ac:dyDescent="0.25">
      <c r="A22" s="187">
        <v>19</v>
      </c>
      <c r="B22" t="s">
        <v>236</v>
      </c>
      <c r="C22" s="65">
        <v>7500</v>
      </c>
      <c r="D22" s="112"/>
      <c r="E22" s="51"/>
      <c r="F22" s="51"/>
      <c r="G22" s="52">
        <v>7500</v>
      </c>
      <c r="H22" s="51"/>
    </row>
    <row r="23" spans="1:8" x14ac:dyDescent="0.25">
      <c r="A23" s="187">
        <v>20</v>
      </c>
      <c r="D23" s="52">
        <f>SUM(D4:D22)</f>
        <v>1740</v>
      </c>
      <c r="E23" s="52">
        <f t="shared" ref="E23:G23" si="3">SUM(E4:E22)</f>
        <v>1740</v>
      </c>
      <c r="F23" s="52">
        <f t="shared" si="3"/>
        <v>4960</v>
      </c>
      <c r="G23" s="52">
        <f t="shared" si="3"/>
        <v>7500</v>
      </c>
      <c r="H23" s="52">
        <f>SUM(H4:H22)</f>
        <v>3460</v>
      </c>
    </row>
    <row r="24" spans="1:8" x14ac:dyDescent="0.25">
      <c r="A24" s="187">
        <v>21</v>
      </c>
    </row>
    <row r="25" spans="1:8" x14ac:dyDescent="0.25">
      <c r="A25" s="187">
        <v>22</v>
      </c>
      <c r="B25" s="8" t="s">
        <v>90</v>
      </c>
      <c r="C25" s="4">
        <f>SUM(C4:C22)</f>
        <v>19400</v>
      </c>
      <c r="E25" s="8" t="s">
        <v>132</v>
      </c>
      <c r="F25" s="4">
        <f>SUM(D23:H23)</f>
        <v>19400</v>
      </c>
    </row>
    <row r="34" spans="7:7" x14ac:dyDescent="0.25">
      <c r="G34" s="52"/>
    </row>
  </sheetData>
  <sheetProtection selectLockedCells="1"/>
  <mergeCells count="2">
    <mergeCell ref="A1:H1"/>
    <mergeCell ref="D2:H2"/>
  </mergeCells>
  <printOptions horizontalCentered="1" headings="1"/>
  <pageMargins left="0" right="0" top="1.25" bottom="0" header="0.3" footer="0.3"/>
  <pageSetup orientation="portrait" r:id="rId1"/>
  <headerFooter>
    <oddHeader>&amp;CChester Public Utility District
FY 22/23&amp;RPage 9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view="pageLayout" topLeftCell="C1" zoomScaleNormal="100" workbookViewId="0">
      <selection activeCell="R12" sqref="R12"/>
    </sheetView>
  </sheetViews>
  <sheetFormatPr defaultRowHeight="15.75" x14ac:dyDescent="0.25"/>
  <cols>
    <col min="1" max="1" width="5.625" style="58" customWidth="1"/>
    <col min="2" max="2" width="21.5" style="58" bestFit="1" customWidth="1"/>
    <col min="3" max="3" width="21.125" style="1" customWidth="1"/>
    <col min="4" max="4" width="10.625" style="1" customWidth="1"/>
    <col min="5" max="8" width="10.625" style="5" customWidth="1"/>
    <col min="9" max="9" width="10.625" style="1" customWidth="1"/>
    <col min="11" max="11" width="9.875" style="1" bestFit="1" customWidth="1"/>
  </cols>
  <sheetData>
    <row r="1" spans="1:11" x14ac:dyDescent="0.25">
      <c r="A1" s="215" t="s">
        <v>28</v>
      </c>
      <c r="B1" s="215"/>
      <c r="C1" s="215"/>
      <c r="D1" s="215"/>
      <c r="E1" s="215"/>
      <c r="F1" s="215"/>
      <c r="G1" s="215"/>
      <c r="H1" s="215"/>
      <c r="I1" s="215"/>
    </row>
    <row r="2" spans="1:11" x14ac:dyDescent="0.25">
      <c r="A2" s="1"/>
      <c r="B2" s="1"/>
    </row>
    <row r="3" spans="1:11" x14ac:dyDescent="0.25">
      <c r="E3" s="242" t="s">
        <v>291</v>
      </c>
      <c r="F3" s="242"/>
      <c r="G3" s="242"/>
      <c r="H3" s="242"/>
      <c r="I3" s="242"/>
    </row>
    <row r="4" spans="1:11" ht="31.5" x14ac:dyDescent="0.25">
      <c r="B4" s="61" t="s">
        <v>160</v>
      </c>
      <c r="C4" s="44" t="s">
        <v>145</v>
      </c>
      <c r="D4" s="44" t="s">
        <v>178</v>
      </c>
      <c r="E4" s="46" t="s">
        <v>36</v>
      </c>
      <c r="F4" s="46" t="s">
        <v>37</v>
      </c>
      <c r="G4" s="46" t="s">
        <v>226</v>
      </c>
      <c r="H4" s="46" t="s">
        <v>38</v>
      </c>
      <c r="I4" s="45" t="s">
        <v>73</v>
      </c>
      <c r="K4" s="1" t="s">
        <v>177</v>
      </c>
    </row>
    <row r="5" spans="1:11" ht="20.100000000000001" customHeight="1" x14ac:dyDescent="0.25">
      <c r="A5" s="58">
        <v>1</v>
      </c>
      <c r="B5" s="61" t="s">
        <v>180</v>
      </c>
      <c r="C5" s="44" t="s">
        <v>176</v>
      </c>
      <c r="D5" s="170">
        <f>SUM(E5:I5)</f>
        <v>18950</v>
      </c>
      <c r="E5" s="165">
        <v>4900</v>
      </c>
      <c r="F5" s="165">
        <v>4900</v>
      </c>
      <c r="G5" s="165">
        <v>2150</v>
      </c>
      <c r="H5" s="165">
        <v>5500</v>
      </c>
      <c r="I5" s="165">
        <v>1500</v>
      </c>
      <c r="K5" s="5">
        <f t="shared" ref="K5:K23" si="0">SUM(E5:I5)</f>
        <v>18950</v>
      </c>
    </row>
    <row r="6" spans="1:11" ht="31.5" x14ac:dyDescent="0.25">
      <c r="A6" s="58">
        <v>2</v>
      </c>
      <c r="B6" s="61" t="s">
        <v>179</v>
      </c>
      <c r="C6" s="45" t="s">
        <v>197</v>
      </c>
      <c r="D6" s="170">
        <f t="shared" ref="D6:D27" si="1">SUM(E6:I6)</f>
        <v>31500</v>
      </c>
      <c r="E6" s="165">
        <v>4300</v>
      </c>
      <c r="F6" s="197">
        <v>27200</v>
      </c>
      <c r="G6" s="63"/>
      <c r="H6" s="63"/>
      <c r="I6" s="74"/>
      <c r="K6" s="5">
        <f t="shared" si="0"/>
        <v>31500</v>
      </c>
    </row>
    <row r="7" spans="1:11" ht="20.100000000000001" customHeight="1" x14ac:dyDescent="0.25">
      <c r="A7" s="58">
        <v>3</v>
      </c>
      <c r="B7" s="61" t="s">
        <v>181</v>
      </c>
      <c r="C7" s="169" t="s">
        <v>297</v>
      </c>
      <c r="D7" s="170">
        <f t="shared" si="1"/>
        <v>18000</v>
      </c>
      <c r="E7" s="165">
        <v>3600</v>
      </c>
      <c r="F7" s="165">
        <v>3600</v>
      </c>
      <c r="G7" s="165">
        <v>3600</v>
      </c>
      <c r="H7" s="165">
        <v>3600</v>
      </c>
      <c r="I7" s="165">
        <v>3600</v>
      </c>
      <c r="K7" s="5">
        <f t="shared" si="0"/>
        <v>18000</v>
      </c>
    </row>
    <row r="8" spans="1:11" x14ac:dyDescent="0.25">
      <c r="A8" s="58">
        <v>4</v>
      </c>
      <c r="B8" s="62" t="s">
        <v>182</v>
      </c>
      <c r="C8" s="44" t="s">
        <v>183</v>
      </c>
      <c r="D8" s="170">
        <f t="shared" si="1"/>
        <v>1460</v>
      </c>
      <c r="E8" s="165">
        <v>365</v>
      </c>
      <c r="F8" s="165">
        <v>730</v>
      </c>
      <c r="G8" s="165"/>
      <c r="H8" s="165">
        <v>365</v>
      </c>
      <c r="I8" s="74"/>
      <c r="K8" s="5">
        <f t="shared" si="0"/>
        <v>1460</v>
      </c>
    </row>
    <row r="9" spans="1:11" ht="31.5" x14ac:dyDescent="0.25">
      <c r="A9" s="58">
        <v>5</v>
      </c>
      <c r="B9" s="171" t="s">
        <v>303</v>
      </c>
      <c r="C9" s="62" t="s">
        <v>296</v>
      </c>
      <c r="D9" s="170">
        <f t="shared" si="1"/>
        <v>1940</v>
      </c>
      <c r="E9" s="172">
        <v>525</v>
      </c>
      <c r="F9" s="172">
        <v>525</v>
      </c>
      <c r="G9" s="172">
        <v>640</v>
      </c>
      <c r="H9" s="172">
        <v>250</v>
      </c>
      <c r="I9" s="75">
        <v>0</v>
      </c>
      <c r="J9" s="48"/>
      <c r="K9" s="59">
        <f t="shared" si="0"/>
        <v>1940</v>
      </c>
    </row>
    <row r="10" spans="1:11" s="48" customFormat="1" x14ac:dyDescent="0.25">
      <c r="A10" s="58">
        <v>6</v>
      </c>
      <c r="B10" s="62" t="s">
        <v>186</v>
      </c>
      <c r="C10" s="61" t="s">
        <v>294</v>
      </c>
      <c r="D10" s="46">
        <v>5100</v>
      </c>
      <c r="E10" s="172">
        <v>2000</v>
      </c>
      <c r="F10" s="172">
        <v>2000</v>
      </c>
      <c r="G10" s="75">
        <v>400</v>
      </c>
      <c r="H10" s="75">
        <v>400</v>
      </c>
      <c r="I10" s="75">
        <v>400</v>
      </c>
      <c r="J10" s="60"/>
      <c r="K10" s="59">
        <f t="shared" si="0"/>
        <v>5200</v>
      </c>
    </row>
    <row r="11" spans="1:11" s="48" customFormat="1" x14ac:dyDescent="0.25">
      <c r="A11" s="58">
        <v>7</v>
      </c>
      <c r="B11" s="62" t="s">
        <v>185</v>
      </c>
      <c r="C11" s="62" t="s">
        <v>184</v>
      </c>
      <c r="D11" s="170">
        <f t="shared" si="1"/>
        <v>9700</v>
      </c>
      <c r="E11" s="75"/>
      <c r="F11" s="75"/>
      <c r="G11" s="172">
        <v>9700</v>
      </c>
      <c r="H11" s="75"/>
      <c r="I11" s="76"/>
      <c r="K11" s="59">
        <f t="shared" si="0"/>
        <v>9700</v>
      </c>
    </row>
    <row r="12" spans="1:11" s="48" customFormat="1" ht="31.5" x14ac:dyDescent="0.25">
      <c r="A12" s="58">
        <v>8</v>
      </c>
      <c r="B12" s="61" t="s">
        <v>187</v>
      </c>
      <c r="C12" s="62" t="s">
        <v>188</v>
      </c>
      <c r="D12" s="170">
        <f t="shared" si="1"/>
        <v>0</v>
      </c>
      <c r="E12" s="75">
        <v>0</v>
      </c>
      <c r="F12" s="75">
        <v>0</v>
      </c>
      <c r="G12" s="75">
        <v>0</v>
      </c>
      <c r="H12" s="75">
        <v>0</v>
      </c>
      <c r="I12" s="76"/>
      <c r="J12" s="175" t="s">
        <v>302</v>
      </c>
      <c r="K12" s="59">
        <f>SUM(E12:I12)</f>
        <v>0</v>
      </c>
    </row>
    <row r="13" spans="1:11" ht="20.100000000000001" customHeight="1" x14ac:dyDescent="0.25">
      <c r="A13" s="58">
        <v>9</v>
      </c>
      <c r="B13" s="61" t="s">
        <v>298</v>
      </c>
      <c r="C13" s="44" t="s">
        <v>312</v>
      </c>
      <c r="D13" s="170">
        <f t="shared" si="1"/>
        <v>2400</v>
      </c>
      <c r="E13" s="165">
        <v>600</v>
      </c>
      <c r="F13" s="165">
        <v>600</v>
      </c>
      <c r="G13" s="165">
        <v>600</v>
      </c>
      <c r="H13" s="165">
        <v>600</v>
      </c>
      <c r="I13" s="74"/>
      <c r="K13" s="59">
        <f>SUM(E13:I13)</f>
        <v>2400</v>
      </c>
    </row>
    <row r="14" spans="1:11" ht="20.100000000000001" customHeight="1" x14ac:dyDescent="0.25">
      <c r="A14" s="58">
        <v>10</v>
      </c>
      <c r="B14" s="173" t="s">
        <v>304</v>
      </c>
      <c r="C14" s="44" t="s">
        <v>292</v>
      </c>
      <c r="D14" s="170">
        <f t="shared" si="1"/>
        <v>7400</v>
      </c>
      <c r="E14" s="165">
        <v>1850</v>
      </c>
      <c r="F14" s="165">
        <v>1850</v>
      </c>
      <c r="G14" s="165">
        <v>1850</v>
      </c>
      <c r="H14" s="165">
        <v>1850</v>
      </c>
      <c r="I14" s="174">
        <v>0</v>
      </c>
      <c r="K14" s="59">
        <f t="shared" si="0"/>
        <v>7400</v>
      </c>
    </row>
    <row r="15" spans="1:11" ht="31.5" x14ac:dyDescent="0.25">
      <c r="A15" s="58">
        <v>11</v>
      </c>
      <c r="B15" s="61" t="s">
        <v>190</v>
      </c>
      <c r="C15" s="45" t="s">
        <v>191</v>
      </c>
      <c r="D15" s="170">
        <f t="shared" si="1"/>
        <v>650</v>
      </c>
      <c r="E15" s="165">
        <v>650</v>
      </c>
      <c r="F15" s="63"/>
      <c r="G15" s="63"/>
      <c r="H15" s="63"/>
      <c r="I15" s="74"/>
      <c r="K15" s="59">
        <f t="shared" si="0"/>
        <v>650</v>
      </c>
    </row>
    <row r="16" spans="1:11" ht="20.100000000000001" customHeight="1" x14ac:dyDescent="0.25">
      <c r="A16" s="58">
        <v>12</v>
      </c>
      <c r="B16" s="198" t="s">
        <v>192</v>
      </c>
      <c r="C16" s="44" t="s">
        <v>329</v>
      </c>
      <c r="D16" s="170">
        <f t="shared" si="1"/>
        <v>24000</v>
      </c>
      <c r="E16" s="63">
        <v>12000</v>
      </c>
      <c r="F16" s="63">
        <v>12000</v>
      </c>
      <c r="G16" s="63"/>
      <c r="H16" s="63"/>
      <c r="I16" s="74"/>
      <c r="K16" s="59">
        <f t="shared" si="0"/>
        <v>24000</v>
      </c>
    </row>
    <row r="17" spans="1:11" ht="20.100000000000001" customHeight="1" x14ac:dyDescent="0.25">
      <c r="B17" s="198" t="s">
        <v>192</v>
      </c>
      <c r="C17" s="206" t="s">
        <v>324</v>
      </c>
      <c r="D17" s="170">
        <f t="shared" si="1"/>
        <v>10000</v>
      </c>
      <c r="E17" s="63">
        <v>10000</v>
      </c>
      <c r="F17" s="63"/>
      <c r="G17" s="63"/>
      <c r="H17" s="63"/>
      <c r="I17" s="74"/>
      <c r="K17" s="59"/>
    </row>
    <row r="18" spans="1:11" s="48" customFormat="1" x14ac:dyDescent="0.25">
      <c r="A18" s="58">
        <v>13</v>
      </c>
      <c r="B18" s="62" t="s">
        <v>293</v>
      </c>
      <c r="C18" s="61" t="s">
        <v>295</v>
      </c>
      <c r="D18" s="170">
        <f t="shared" si="1"/>
        <v>4280</v>
      </c>
      <c r="E18" s="172">
        <v>230</v>
      </c>
      <c r="F18" s="172">
        <v>230</v>
      </c>
      <c r="G18" s="172">
        <v>2100</v>
      </c>
      <c r="H18" s="172">
        <v>1720</v>
      </c>
      <c r="I18" s="76"/>
      <c r="K18" s="59">
        <f t="shared" si="0"/>
        <v>4280</v>
      </c>
    </row>
    <row r="19" spans="1:11" s="48" customFormat="1" ht="31.5" x14ac:dyDescent="0.25">
      <c r="A19" s="58">
        <v>14</v>
      </c>
      <c r="B19" s="61" t="s">
        <v>300</v>
      </c>
      <c r="C19" s="62" t="s">
        <v>301</v>
      </c>
      <c r="D19" s="46">
        <f t="shared" si="1"/>
        <v>1900</v>
      </c>
      <c r="E19" s="190">
        <v>175</v>
      </c>
      <c r="F19" s="190">
        <v>175</v>
      </c>
      <c r="G19" s="190">
        <v>1200</v>
      </c>
      <c r="H19" s="190">
        <v>350</v>
      </c>
      <c r="I19" s="76"/>
      <c r="K19" s="59"/>
    </row>
    <row r="20" spans="1:11" s="48" customFormat="1" x14ac:dyDescent="0.25">
      <c r="A20" s="58">
        <v>15</v>
      </c>
      <c r="B20" s="61" t="s">
        <v>299</v>
      </c>
      <c r="C20" s="62" t="s">
        <v>315</v>
      </c>
      <c r="D20" s="46">
        <f t="shared" si="1"/>
        <v>1420</v>
      </c>
      <c r="E20" s="75"/>
      <c r="F20" s="75"/>
      <c r="G20" s="191">
        <v>710</v>
      </c>
      <c r="H20" s="191">
        <v>710</v>
      </c>
      <c r="I20" s="76"/>
      <c r="K20" s="59"/>
    </row>
    <row r="21" spans="1:11" s="48" customFormat="1" ht="35.25" customHeight="1" x14ac:dyDescent="0.25">
      <c r="A21" s="58"/>
      <c r="B21" s="62" t="s">
        <v>313</v>
      </c>
      <c r="C21" s="62" t="s">
        <v>314</v>
      </c>
      <c r="D21" s="46">
        <f t="shared" si="1"/>
        <v>7160</v>
      </c>
      <c r="E21" s="75"/>
      <c r="F21" s="75"/>
      <c r="G21" s="196">
        <v>3580</v>
      </c>
      <c r="H21" s="196">
        <v>3580</v>
      </c>
      <c r="I21" s="76"/>
      <c r="K21" s="59"/>
    </row>
    <row r="22" spans="1:11" s="48" customFormat="1" ht="31.5" x14ac:dyDescent="0.25">
      <c r="A22" s="58">
        <v>16</v>
      </c>
      <c r="B22" s="62" t="s">
        <v>193</v>
      </c>
      <c r="C22" s="62" t="s">
        <v>194</v>
      </c>
      <c r="D22" s="46">
        <f t="shared" si="1"/>
        <v>550</v>
      </c>
      <c r="E22" s="75">
        <v>100</v>
      </c>
      <c r="F22" s="75">
        <v>100</v>
      </c>
      <c r="G22" s="75">
        <v>100</v>
      </c>
      <c r="H22" s="75">
        <v>250</v>
      </c>
      <c r="I22" s="75">
        <v>0</v>
      </c>
      <c r="J22" s="60"/>
      <c r="K22" s="59">
        <f t="shared" si="0"/>
        <v>550</v>
      </c>
    </row>
    <row r="23" spans="1:11" ht="20.100000000000001" customHeight="1" x14ac:dyDescent="0.25">
      <c r="A23" s="58">
        <v>17</v>
      </c>
      <c r="B23" s="61" t="s">
        <v>195</v>
      </c>
      <c r="C23" s="44" t="s">
        <v>189</v>
      </c>
      <c r="D23" s="46">
        <f t="shared" si="1"/>
        <v>6000</v>
      </c>
      <c r="E23" s="192">
        <v>1500</v>
      </c>
      <c r="F23" s="192">
        <v>1500</v>
      </c>
      <c r="G23" s="192">
        <v>2000</v>
      </c>
      <c r="H23" s="192">
        <v>500</v>
      </c>
      <c r="I23" s="192">
        <v>500</v>
      </c>
      <c r="J23" s="4"/>
      <c r="K23" s="5">
        <f t="shared" si="0"/>
        <v>6000</v>
      </c>
    </row>
    <row r="24" spans="1:11" x14ac:dyDescent="0.25">
      <c r="A24" s="58">
        <v>18</v>
      </c>
      <c r="B24" s="61" t="s">
        <v>317</v>
      </c>
      <c r="C24" s="200" t="s">
        <v>318</v>
      </c>
      <c r="D24" s="200">
        <f t="shared" si="1"/>
        <v>82000</v>
      </c>
      <c r="E24" s="46">
        <v>32800</v>
      </c>
      <c r="F24" s="46">
        <v>32800</v>
      </c>
      <c r="G24" s="46">
        <v>8200</v>
      </c>
      <c r="H24" s="46">
        <v>8200</v>
      </c>
      <c r="I24" s="44"/>
    </row>
    <row r="25" spans="1:11" x14ac:dyDescent="0.25">
      <c r="B25" s="61" t="s">
        <v>323</v>
      </c>
      <c r="C25" s="207" t="s">
        <v>322</v>
      </c>
      <c r="D25" s="207">
        <f t="shared" si="1"/>
        <v>25000</v>
      </c>
      <c r="E25" s="46">
        <v>7500</v>
      </c>
      <c r="F25" s="46">
        <v>7500</v>
      </c>
      <c r="G25" s="46">
        <v>5000</v>
      </c>
      <c r="H25" s="46">
        <v>5000</v>
      </c>
      <c r="I25" s="205"/>
      <c r="K25" s="204"/>
    </row>
    <row r="26" spans="1:11" x14ac:dyDescent="0.25">
      <c r="B26" s="210" t="s">
        <v>326</v>
      </c>
      <c r="C26" s="211" t="s">
        <v>327</v>
      </c>
      <c r="D26" s="211">
        <f t="shared" si="1"/>
        <v>15000</v>
      </c>
      <c r="E26" s="46"/>
      <c r="F26" s="46"/>
      <c r="G26" s="46">
        <v>15000</v>
      </c>
      <c r="H26" s="46"/>
      <c r="I26" s="209"/>
      <c r="K26" s="208"/>
    </row>
    <row r="27" spans="1:11" x14ac:dyDescent="0.25">
      <c r="B27" s="210" t="s">
        <v>331</v>
      </c>
      <c r="C27" s="211" t="s">
        <v>330</v>
      </c>
      <c r="D27" s="211">
        <f t="shared" si="1"/>
        <v>45000</v>
      </c>
      <c r="E27" s="46"/>
      <c r="F27" s="46"/>
      <c r="G27" s="46">
        <v>22500</v>
      </c>
      <c r="H27" s="46">
        <v>22500</v>
      </c>
      <c r="I27" s="213"/>
      <c r="K27" s="212"/>
    </row>
    <row r="28" spans="1:11" x14ac:dyDescent="0.25">
      <c r="A28" s="58">
        <v>19</v>
      </c>
      <c r="C28" s="8" t="s">
        <v>90</v>
      </c>
      <c r="D28" s="5">
        <f>SUM(D5:D27)</f>
        <v>319410</v>
      </c>
      <c r="E28" s="46">
        <f t="shared" ref="E28:I28" si="2">SUM(E5:E26)</f>
        <v>83095</v>
      </c>
      <c r="F28" s="46">
        <f t="shared" si="2"/>
        <v>95710</v>
      </c>
      <c r="G28" s="46">
        <f>SUM(G5:G27)</f>
        <v>79330</v>
      </c>
      <c r="H28" s="46">
        <f>SUM(H5:H27)</f>
        <v>55375</v>
      </c>
      <c r="I28" s="46">
        <f t="shared" si="2"/>
        <v>6000</v>
      </c>
      <c r="J28" s="4"/>
      <c r="K28" s="5">
        <f>SUM(E28:I28)</f>
        <v>319510</v>
      </c>
    </row>
  </sheetData>
  <sheetProtection selectLockedCells="1"/>
  <mergeCells count="2">
    <mergeCell ref="E3:I3"/>
    <mergeCell ref="A1:I1"/>
  </mergeCells>
  <printOptions horizontalCentered="1" headings="1"/>
  <pageMargins left="0" right="0" top="1.25" bottom="0" header="0.3" footer="0.3"/>
  <pageSetup scale="86" orientation="landscape" r:id="rId1"/>
  <headerFooter>
    <oddHeader>&amp;C&amp;24Chester Public Utility District
FY 22/23&amp;RPage 10</oddHeader>
  </headerFooter>
  <ignoredErrors>
    <ignoredError sqref="K13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3"/>
  <sheetViews>
    <sheetView view="pageLayout" topLeftCell="N1" zoomScaleNormal="100" workbookViewId="0">
      <selection activeCell="S23" sqref="S23"/>
    </sheetView>
  </sheetViews>
  <sheetFormatPr defaultRowHeight="15.75" x14ac:dyDescent="0.25"/>
  <cols>
    <col min="1" max="1" width="3.625" style="1" customWidth="1"/>
    <col min="2" max="2" width="24.25" bestFit="1" customWidth="1"/>
    <col min="4" max="4" width="9.875" bestFit="1" customWidth="1"/>
    <col min="8" max="8" width="11.625" customWidth="1"/>
    <col min="9" max="11" width="9.625" customWidth="1"/>
    <col min="13" max="13" width="15.625" customWidth="1"/>
  </cols>
  <sheetData>
    <row r="2" spans="1:13" x14ac:dyDescent="0.25">
      <c r="B2" s="230" t="s">
        <v>175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x14ac:dyDescent="0.25">
      <c r="F3" s="243" t="s">
        <v>285</v>
      </c>
      <c r="G3" s="243"/>
      <c r="H3" s="243"/>
    </row>
    <row r="4" spans="1:13" ht="47.25" x14ac:dyDescent="0.25">
      <c r="C4" s="44" t="s">
        <v>34</v>
      </c>
      <c r="D4" s="44" t="s">
        <v>83</v>
      </c>
      <c r="E4" s="44" t="s">
        <v>84</v>
      </c>
      <c r="F4" s="44" t="s">
        <v>87</v>
      </c>
      <c r="G4" s="45" t="s">
        <v>89</v>
      </c>
      <c r="H4" s="45" t="s">
        <v>224</v>
      </c>
      <c r="I4" s="55" t="s">
        <v>173</v>
      </c>
      <c r="J4" s="45" t="s">
        <v>106</v>
      </c>
      <c r="K4" s="45" t="s">
        <v>209</v>
      </c>
      <c r="L4" s="45" t="s">
        <v>30</v>
      </c>
      <c r="M4" s="56" t="s">
        <v>174</v>
      </c>
    </row>
    <row r="5" spans="1:13" x14ac:dyDescent="0.25">
      <c r="A5" s="1">
        <v>1</v>
      </c>
      <c r="B5" t="s">
        <v>35</v>
      </c>
      <c r="C5" s="46">
        <f>Wages!M4</f>
        <v>0</v>
      </c>
      <c r="D5" s="46">
        <f>Benefits!G43</f>
        <v>0</v>
      </c>
      <c r="E5" s="46">
        <f>Benefits!G76</f>
        <v>0</v>
      </c>
      <c r="F5" s="46">
        <f>Benefits!G106</f>
        <v>0</v>
      </c>
      <c r="G5" s="46">
        <f>Benefits!G135</f>
        <v>0</v>
      </c>
      <c r="H5" s="46">
        <f>Benefits!G167</f>
        <v>0</v>
      </c>
      <c r="I5" s="46">
        <f>Benefits!G199</f>
        <v>0</v>
      </c>
      <c r="J5" s="46">
        <f>PERS!I5</f>
        <v>0</v>
      </c>
      <c r="K5" s="46"/>
      <c r="L5" s="46">
        <f>'Training &amp; Travel'!C4</f>
        <v>0</v>
      </c>
      <c r="M5" s="57">
        <f t="shared" ref="M5:M21" si="0">SUM(C5:L5)</f>
        <v>0</v>
      </c>
    </row>
    <row r="6" spans="1:13" x14ac:dyDescent="0.25">
      <c r="A6" s="1">
        <v>2</v>
      </c>
      <c r="B6" t="s">
        <v>40</v>
      </c>
      <c r="C6" s="46">
        <f>Wages!M5</f>
        <v>67849</v>
      </c>
      <c r="D6" s="46">
        <f>Benefits!G44</f>
        <v>9827.7000000000007</v>
      </c>
      <c r="E6" s="46">
        <f>Benefits!G77</f>
        <v>820</v>
      </c>
      <c r="F6" s="46">
        <f>Benefits!G107</f>
        <v>205.82000000000002</v>
      </c>
      <c r="G6" s="46">
        <f>Benefits!G136</f>
        <v>540</v>
      </c>
      <c r="H6" s="46">
        <f>Benefits!G168</f>
        <v>160</v>
      </c>
      <c r="I6" s="46">
        <f>Benefits!G200</f>
        <v>0</v>
      </c>
      <c r="J6" s="46">
        <f>PERS!I6</f>
        <v>64757.578000000001</v>
      </c>
      <c r="K6" s="46"/>
      <c r="L6" s="46">
        <f>'Training &amp; Travel'!C5</f>
        <v>400</v>
      </c>
      <c r="M6" s="57">
        <f t="shared" si="0"/>
        <v>144560.098</v>
      </c>
    </row>
    <row r="7" spans="1:13" x14ac:dyDescent="0.25">
      <c r="A7" s="1">
        <v>3</v>
      </c>
      <c r="B7" t="s">
        <v>41</v>
      </c>
      <c r="C7" s="46">
        <f>Wages!M6</f>
        <v>39728</v>
      </c>
      <c r="D7" s="46">
        <f>Benefits!G45</f>
        <v>21217.5</v>
      </c>
      <c r="E7" s="46">
        <f>Benefits!G78</f>
        <v>2870</v>
      </c>
      <c r="F7" s="46">
        <f>Benefits!G108</f>
        <v>351.37</v>
      </c>
      <c r="G7" s="46">
        <f>Benefits!G137</f>
        <v>540</v>
      </c>
      <c r="H7" s="46">
        <f>Benefits!G169</f>
        <v>160</v>
      </c>
      <c r="I7" s="46">
        <f>Benefits!G201</f>
        <v>0</v>
      </c>
      <c r="J7" s="46">
        <f>PERS!I7</f>
        <v>3201.7689599999999</v>
      </c>
      <c r="K7" s="46"/>
      <c r="L7" s="46">
        <f>'Training &amp; Travel'!C6</f>
        <v>400</v>
      </c>
      <c r="M7" s="57">
        <f t="shared" si="0"/>
        <v>68468.638959999997</v>
      </c>
    </row>
    <row r="8" spans="1:13" x14ac:dyDescent="0.25">
      <c r="A8" s="1">
        <v>4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57"/>
    </row>
    <row r="9" spans="1:13" x14ac:dyDescent="0.25">
      <c r="A9" s="1">
        <v>5</v>
      </c>
      <c r="B9" t="s">
        <v>42</v>
      </c>
      <c r="C9" s="46">
        <f>Wages!M8</f>
        <v>10000</v>
      </c>
      <c r="D9" s="46">
        <f>Benefits!G47</f>
        <v>0</v>
      </c>
      <c r="E9" s="46">
        <f>Benefits!G80</f>
        <v>0</v>
      </c>
      <c r="F9" s="46">
        <f>Benefits!G110</f>
        <v>0</v>
      </c>
      <c r="G9" s="46">
        <f>Benefits!G139</f>
        <v>0</v>
      </c>
      <c r="H9" s="46">
        <f>Benefits!G171</f>
        <v>0</v>
      </c>
      <c r="I9" s="46">
        <f>Benefits!G203</f>
        <v>0</v>
      </c>
      <c r="J9" s="46">
        <f>PERS!I9</f>
        <v>0</v>
      </c>
      <c r="K9" s="46"/>
      <c r="L9" s="46">
        <f>'Training &amp; Travel'!C8</f>
        <v>0</v>
      </c>
      <c r="M9" s="57">
        <f t="shared" si="0"/>
        <v>10000</v>
      </c>
    </row>
    <row r="10" spans="1:13" x14ac:dyDescent="0.25">
      <c r="A10" s="1">
        <v>6</v>
      </c>
      <c r="B10" t="s">
        <v>43</v>
      </c>
      <c r="C10" s="46">
        <f>Wages!M9</f>
        <v>69388</v>
      </c>
      <c r="D10" s="46">
        <f>Benefits!G48</f>
        <v>9827.7000000000007</v>
      </c>
      <c r="E10" s="46">
        <f>Benefits!G81</f>
        <v>820</v>
      </c>
      <c r="F10" s="46">
        <f>Benefits!G111</f>
        <v>205.82000000000002</v>
      </c>
      <c r="G10" s="46">
        <f>Benefits!G140</f>
        <v>540</v>
      </c>
      <c r="H10" s="46">
        <f>Benefits!G172</f>
        <v>160</v>
      </c>
      <c r="I10" s="46">
        <f>Benefits!G204</f>
        <v>0</v>
      </c>
      <c r="J10" s="46">
        <f>PERS!I10</f>
        <v>5396.5491999999995</v>
      </c>
      <c r="K10" s="46"/>
      <c r="L10" s="46">
        <f>'Training &amp; Travel'!C9</f>
        <v>1000</v>
      </c>
      <c r="M10" s="57">
        <f t="shared" si="0"/>
        <v>87338.069199999998</v>
      </c>
    </row>
    <row r="11" spans="1:13" x14ac:dyDescent="0.25">
      <c r="A11" s="1">
        <v>7</v>
      </c>
      <c r="B11" t="s">
        <v>44</v>
      </c>
      <c r="C11" s="46">
        <f>Wages!M10</f>
        <v>0</v>
      </c>
      <c r="D11" s="46">
        <f>Benefits!G49</f>
        <v>9827.7000000000007</v>
      </c>
      <c r="E11" s="46">
        <f>Benefits!G82</f>
        <v>820</v>
      </c>
      <c r="F11" s="46">
        <f>Benefits!G112</f>
        <v>205.82000000000002</v>
      </c>
      <c r="G11" s="46">
        <f>Benefits!G141</f>
        <v>540</v>
      </c>
      <c r="H11" s="46">
        <f>Benefits!G173</f>
        <v>160</v>
      </c>
      <c r="I11" s="46">
        <f>Benefits!G205</f>
        <v>0</v>
      </c>
      <c r="J11" s="46">
        <f>PERS!I11</f>
        <v>0</v>
      </c>
      <c r="K11" s="46">
        <v>2080</v>
      </c>
      <c r="L11" s="46">
        <f>'Training &amp; Travel'!C10</f>
        <v>0</v>
      </c>
      <c r="M11" s="57">
        <f t="shared" si="0"/>
        <v>13633.52</v>
      </c>
    </row>
    <row r="12" spans="1:13" x14ac:dyDescent="0.25">
      <c r="A12" s="1">
        <v>8</v>
      </c>
      <c r="B12" t="s">
        <v>45</v>
      </c>
      <c r="C12" s="46">
        <f>Wages!M11</f>
        <v>35349.599999999999</v>
      </c>
      <c r="D12" s="46">
        <f>Benefits!G50</f>
        <v>9827.7000000000007</v>
      </c>
      <c r="E12" s="46">
        <f>Benefits!G83</f>
        <v>820</v>
      </c>
      <c r="F12" s="46">
        <f>Benefits!G113</f>
        <v>205.82000000000002</v>
      </c>
      <c r="G12" s="46">
        <f>Benefits!G142</f>
        <v>540</v>
      </c>
      <c r="H12" s="46">
        <f>Benefits!G174</f>
        <v>160</v>
      </c>
      <c r="I12" s="46">
        <f>Benefits!G206</f>
        <v>0</v>
      </c>
      <c r="J12" s="46">
        <f>PERS!I12</f>
        <v>2813.0346399999999</v>
      </c>
      <c r="K12" s="46">
        <v>2080</v>
      </c>
      <c r="L12" s="46">
        <f>'Training &amp; Travel'!C11</f>
        <v>1000</v>
      </c>
      <c r="M12" s="57">
        <f t="shared" si="0"/>
        <v>52796.154640000001</v>
      </c>
    </row>
    <row r="13" spans="1:13" x14ac:dyDescent="0.25">
      <c r="A13" s="1">
        <v>9</v>
      </c>
      <c r="B13" t="s">
        <v>46</v>
      </c>
      <c r="C13" s="46">
        <f>Wages!M12</f>
        <v>35263.800000000003</v>
      </c>
      <c r="D13" s="46">
        <f>Benefits!G51</f>
        <v>0</v>
      </c>
      <c r="E13" s="46">
        <f>Benefits!G84</f>
        <v>0</v>
      </c>
      <c r="F13" s="46">
        <f>Benefits!G114</f>
        <v>0</v>
      </c>
      <c r="G13" s="46">
        <f>Benefits!G143</f>
        <v>0</v>
      </c>
      <c r="H13" s="46">
        <f>Benefits!G175</f>
        <v>160</v>
      </c>
      <c r="I13" s="46">
        <f>Benefits!I143</f>
        <v>0</v>
      </c>
      <c r="J13" s="46">
        <f>PERS!I13</f>
        <v>2806.5224200000002</v>
      </c>
      <c r="K13" s="46"/>
      <c r="L13" s="46">
        <f>'Training &amp; Travel'!C12</f>
        <v>1000</v>
      </c>
      <c r="M13" s="57">
        <f t="shared" si="0"/>
        <v>39230.322420000004</v>
      </c>
    </row>
    <row r="14" spans="1:13" x14ac:dyDescent="0.25">
      <c r="A14" s="1">
        <v>10</v>
      </c>
      <c r="B14" t="s">
        <v>39</v>
      </c>
      <c r="C14" s="46">
        <f>Wages!M13</f>
        <v>24000</v>
      </c>
      <c r="D14" s="46">
        <v>0</v>
      </c>
      <c r="E14" s="46">
        <v>0</v>
      </c>
      <c r="F14" s="46">
        <v>0</v>
      </c>
      <c r="G14" s="46">
        <v>0</v>
      </c>
      <c r="H14" s="46">
        <f>Benefits!G175</f>
        <v>160</v>
      </c>
      <c r="I14" s="46">
        <f>Benefits!G207</f>
        <v>400</v>
      </c>
      <c r="J14" s="46">
        <f>PERS!I14</f>
        <v>0</v>
      </c>
      <c r="K14" s="46"/>
      <c r="L14" s="46">
        <f>'Training &amp; Travel'!C13</f>
        <v>400</v>
      </c>
      <c r="M14" s="57">
        <f t="shared" si="0"/>
        <v>24960</v>
      </c>
    </row>
    <row r="15" spans="1:13" x14ac:dyDescent="0.25">
      <c r="A15" s="1">
        <v>11</v>
      </c>
      <c r="B15" t="s">
        <v>218</v>
      </c>
      <c r="C15" s="46">
        <f>Wages!M14</f>
        <v>105852</v>
      </c>
      <c r="D15" s="46">
        <f>Benefits!G52</f>
        <v>27293.7</v>
      </c>
      <c r="E15" s="46">
        <f>Benefits!G85</f>
        <v>2870</v>
      </c>
      <c r="F15" s="46">
        <f>Benefits!G115</f>
        <v>351.37</v>
      </c>
      <c r="G15" s="46">
        <f>Benefits!G144</f>
        <v>540</v>
      </c>
      <c r="H15" s="46">
        <f>Benefits!G176</f>
        <v>160</v>
      </c>
      <c r="I15" s="46">
        <f>Benefits!G208</f>
        <v>800</v>
      </c>
      <c r="J15" s="46">
        <f>PERS!I15</f>
        <v>84616.5092</v>
      </c>
      <c r="K15" s="46"/>
      <c r="L15" s="46">
        <f>'Training &amp; Travel'!C14</f>
        <v>1100</v>
      </c>
      <c r="M15" s="57">
        <f t="shared" si="0"/>
        <v>223583.57920000001</v>
      </c>
    </row>
    <row r="16" spans="1:13" x14ac:dyDescent="0.25">
      <c r="A16" s="1">
        <v>12</v>
      </c>
      <c r="B16" t="s">
        <v>215</v>
      </c>
      <c r="C16" s="46">
        <f>Wages!M15</f>
        <v>63188.1</v>
      </c>
      <c r="D16" s="46">
        <f>Benefits!G53</f>
        <v>27293.7</v>
      </c>
      <c r="E16" s="46">
        <f>Benefits!G86</f>
        <v>2870</v>
      </c>
      <c r="F16" s="46">
        <f>Benefits!G116</f>
        <v>351.37</v>
      </c>
      <c r="G16" s="46">
        <f>Benefits!G145</f>
        <v>540</v>
      </c>
      <c r="H16" s="46">
        <f>Benefits!G177</f>
        <v>160</v>
      </c>
      <c r="I16" s="46">
        <f>Benefits!G209</f>
        <v>800</v>
      </c>
      <c r="J16" s="46">
        <f>PERS!I16</f>
        <v>8785.5975299999991</v>
      </c>
      <c r="K16" s="46"/>
      <c r="L16" s="46">
        <f>'Training &amp; Travel'!C15</f>
        <v>1100</v>
      </c>
      <c r="M16" s="57">
        <f t="shared" si="0"/>
        <v>105088.76753</v>
      </c>
    </row>
    <row r="17" spans="1:13" x14ac:dyDescent="0.25">
      <c r="A17" s="124">
        <v>13</v>
      </c>
      <c r="B17" t="s">
        <v>215</v>
      </c>
      <c r="C17" s="46">
        <f>Wages!M16</f>
        <v>56019</v>
      </c>
      <c r="D17" s="46">
        <f>Benefits!G54</f>
        <v>21217.5</v>
      </c>
      <c r="E17" s="46">
        <f>Benefits!G87</f>
        <v>820</v>
      </c>
      <c r="F17" s="46">
        <f>Benefits!G117</f>
        <v>351.37</v>
      </c>
      <c r="G17" s="46">
        <f>Benefits!G146</f>
        <v>540</v>
      </c>
      <c r="H17" s="46">
        <f>Benefits!G178</f>
        <v>160</v>
      </c>
      <c r="I17" s="46">
        <f>Benefits!G210</f>
        <v>800</v>
      </c>
      <c r="J17" s="46">
        <f>PERS!I17</f>
        <v>7844.2947000000004</v>
      </c>
      <c r="K17" s="46"/>
      <c r="L17" s="46">
        <f>'Training &amp; Travel'!C16</f>
        <v>1100</v>
      </c>
      <c r="M17" s="57">
        <f t="shared" ref="M17" si="1">SUM(C17:L17)</f>
        <v>88852.164699999994</v>
      </c>
    </row>
    <row r="18" spans="1:13" x14ac:dyDescent="0.25">
      <c r="A18" s="124">
        <v>14</v>
      </c>
      <c r="B18" t="s">
        <v>219</v>
      </c>
      <c r="C18" s="46">
        <f>Wages!M18</f>
        <v>95532.32</v>
      </c>
      <c r="D18" s="46">
        <f>Benefits!G56</f>
        <v>27293.7</v>
      </c>
      <c r="E18" s="46">
        <f>Benefits!G89</f>
        <v>2870</v>
      </c>
      <c r="F18" s="46">
        <f>Benefits!G119</f>
        <v>351.37</v>
      </c>
      <c r="G18" s="46">
        <f>Benefits!G148</f>
        <v>540</v>
      </c>
      <c r="H18" s="46">
        <f>Benefits!F180</f>
        <v>160</v>
      </c>
      <c r="I18" s="46">
        <f>Benefits!G212</f>
        <v>800</v>
      </c>
      <c r="J18" s="46">
        <f>PERS!I19</f>
        <v>82169.713071999999</v>
      </c>
      <c r="K18" s="46"/>
      <c r="L18" s="46">
        <f>'Training &amp; Travel'!C18</f>
        <v>1100</v>
      </c>
      <c r="M18" s="57">
        <f t="shared" si="0"/>
        <v>210817.103072</v>
      </c>
    </row>
    <row r="19" spans="1:13" x14ac:dyDescent="0.25">
      <c r="A19" s="124">
        <v>15</v>
      </c>
      <c r="B19" t="s">
        <v>216</v>
      </c>
      <c r="C19" s="46">
        <f>Wages!M19</f>
        <v>73937.240000000005</v>
      </c>
      <c r="D19" s="46">
        <f>Benefits!G57</f>
        <v>27342.9</v>
      </c>
      <c r="E19" s="46">
        <f>Benefits!G90</f>
        <v>2870</v>
      </c>
      <c r="F19" s="46">
        <f>Benefits!G120</f>
        <v>351.37</v>
      </c>
      <c r="G19" s="46">
        <f>Benefits!G149</f>
        <v>540</v>
      </c>
      <c r="H19" s="46">
        <f>Benefits!G181</f>
        <v>160</v>
      </c>
      <c r="I19" s="46">
        <f>Benefits!G213</f>
        <v>800</v>
      </c>
      <c r="J19" s="46">
        <f>PERS!I20</f>
        <v>10196.959612000001</v>
      </c>
      <c r="K19" s="46"/>
      <c r="L19" s="46">
        <f>'Training &amp; Travel'!C19</f>
        <v>1100</v>
      </c>
      <c r="M19" s="57">
        <f t="shared" si="0"/>
        <v>117298.46961200002</v>
      </c>
    </row>
    <row r="20" spans="1:13" x14ac:dyDescent="0.25">
      <c r="A20" s="124">
        <v>16</v>
      </c>
      <c r="B20" t="s">
        <v>216</v>
      </c>
      <c r="C20" s="46">
        <f>Wages!M20</f>
        <v>75047.070000000007</v>
      </c>
      <c r="D20" s="46">
        <f>Benefits!G58</f>
        <v>27293.7</v>
      </c>
      <c r="E20" s="46">
        <f>Benefits!G91</f>
        <v>2870</v>
      </c>
      <c r="F20" s="46">
        <f>Benefits!G121</f>
        <v>351.37</v>
      </c>
      <c r="G20" s="46">
        <f>Benefits!G150</f>
        <v>540</v>
      </c>
      <c r="H20" s="46">
        <f>Benefits!G182</f>
        <v>160</v>
      </c>
      <c r="I20" s="46">
        <f>Benefits!G214</f>
        <v>800</v>
      </c>
      <c r="J20" s="46">
        <f>PERS!I21</f>
        <v>10342.680291000001</v>
      </c>
      <c r="K20" s="46"/>
      <c r="L20" s="46">
        <f>'Training &amp; Travel'!C20</f>
        <v>1100</v>
      </c>
      <c r="M20" s="57">
        <f t="shared" si="0"/>
        <v>118504.820291</v>
      </c>
    </row>
    <row r="21" spans="1:13" x14ac:dyDescent="0.25">
      <c r="A21" s="124">
        <v>17</v>
      </c>
      <c r="B21" t="s">
        <v>220</v>
      </c>
      <c r="C21" s="46">
        <f>Wages!M21</f>
        <v>0</v>
      </c>
      <c r="D21" s="46">
        <f>Benefits!G59</f>
        <v>0</v>
      </c>
      <c r="E21" s="46">
        <f>Benefits!G92</f>
        <v>0</v>
      </c>
      <c r="F21" s="46">
        <f>Benefits!G122</f>
        <v>0</v>
      </c>
      <c r="G21" s="46">
        <f>Benefits!G151</f>
        <v>0</v>
      </c>
      <c r="H21" s="46">
        <f>Benefits!G183</f>
        <v>0</v>
      </c>
      <c r="I21" s="46">
        <f>Benefits!G215</f>
        <v>0</v>
      </c>
      <c r="J21" s="46">
        <f>PERS!I22</f>
        <v>0</v>
      </c>
      <c r="K21" s="46"/>
      <c r="L21" s="46">
        <f>'Training &amp; Travel'!C21</f>
        <v>0</v>
      </c>
      <c r="M21" s="57">
        <f t="shared" si="0"/>
        <v>0</v>
      </c>
    </row>
    <row r="22" spans="1:13" x14ac:dyDescent="0.25">
      <c r="C22" s="51"/>
      <c r="D22" s="46"/>
      <c r="E22" s="46"/>
      <c r="F22" s="52"/>
      <c r="G22" s="52"/>
      <c r="H22" s="52"/>
      <c r="I22" s="51"/>
      <c r="J22" s="51"/>
      <c r="K22" s="51"/>
      <c r="L22" s="51"/>
    </row>
    <row r="23" spans="1:13" x14ac:dyDescent="0.25">
      <c r="C23" s="46">
        <f>SUM(C5:C22)</f>
        <v>751154.13000000012</v>
      </c>
      <c r="D23" s="46">
        <f t="shared" ref="D23:L23" si="2">SUM(D5:D22)</f>
        <v>218263.50000000003</v>
      </c>
      <c r="E23" s="46">
        <f t="shared" si="2"/>
        <v>21320</v>
      </c>
      <c r="F23" s="46">
        <f t="shared" si="2"/>
        <v>3282.8699999999994</v>
      </c>
      <c r="G23" s="46">
        <f t="shared" si="2"/>
        <v>5940</v>
      </c>
      <c r="H23" s="46">
        <f t="shared" si="2"/>
        <v>2080</v>
      </c>
      <c r="I23" s="46">
        <f t="shared" si="2"/>
        <v>5200</v>
      </c>
      <c r="J23" s="46">
        <f t="shared" si="2"/>
        <v>282931.20762499998</v>
      </c>
      <c r="K23" s="46"/>
      <c r="L23" s="46">
        <f t="shared" si="2"/>
        <v>10800</v>
      </c>
      <c r="M23" s="87">
        <f>SUM(M5:M21)</f>
        <v>1305131.707625</v>
      </c>
    </row>
  </sheetData>
  <sheetProtection selectLockedCells="1" selectUnlockedCells="1"/>
  <mergeCells count="2">
    <mergeCell ref="B2:M2"/>
    <mergeCell ref="F3:H3"/>
  </mergeCells>
  <printOptions horizontalCentered="1" headings="1"/>
  <pageMargins left="0" right="0" top="1" bottom="0" header="0.3" footer="0.3"/>
  <pageSetup scale="90" orientation="landscape" r:id="rId1"/>
  <headerFooter>
    <oddHeader>&amp;RPage 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Main Page</vt:lpstr>
      <vt:lpstr>Wages</vt:lpstr>
      <vt:lpstr>Benefits</vt:lpstr>
      <vt:lpstr>PERS</vt:lpstr>
      <vt:lpstr>Workers Comp</vt:lpstr>
      <vt:lpstr>Payroll Taxes</vt:lpstr>
      <vt:lpstr>Unemployment Taxes</vt:lpstr>
      <vt:lpstr>Utilities-Auto Expense</vt:lpstr>
      <vt:lpstr>Training &amp; Travel</vt:lpstr>
      <vt:lpstr>Professional Services</vt:lpstr>
      <vt:lpstr>Total Employee Compensation</vt:lpstr>
      <vt:lpstr>Benefits!Print_Area</vt:lpstr>
      <vt:lpstr>'Main Page'!Print_Area</vt:lpstr>
      <vt:lpstr>'Payroll Taxes'!Print_Area</vt:lpstr>
      <vt:lpstr>PERS!Print_Area</vt:lpstr>
      <vt:lpstr>'Professional Services'!Print_Area</vt:lpstr>
      <vt:lpstr>'Total Employee Compensation'!Print_Area</vt:lpstr>
      <vt:lpstr>'Training &amp; Travel'!Print_Area</vt:lpstr>
      <vt:lpstr>'Unemployment Taxes'!Print_Area</vt:lpstr>
      <vt:lpstr>'Utilities-Auto Expense'!Print_Area</vt:lpstr>
      <vt:lpstr>Wages!Print_Area</vt:lpstr>
      <vt:lpstr>'Workers Comp'!Print_Area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Motzkus</dc:creator>
  <cp:lastModifiedBy>Chester Fire</cp:lastModifiedBy>
  <cp:lastPrinted>2022-06-24T19:47:39Z</cp:lastPrinted>
  <dcterms:created xsi:type="dcterms:W3CDTF">2017-01-16T21:32:57Z</dcterms:created>
  <dcterms:modified xsi:type="dcterms:W3CDTF">2022-07-01T20:56:10Z</dcterms:modified>
  <cp:contentStatus/>
</cp:coreProperties>
</file>