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ad Supervisor\Desktop\CPUD\Budget 2020-2021\"/>
    </mc:Choice>
  </mc:AlternateContent>
  <bookViews>
    <workbookView minimized="1" xWindow="-120" yWindow="-120" windowWidth="24240" windowHeight="13140" tabRatio="902" firstSheet="5" activeTab="12"/>
  </bookViews>
  <sheets>
    <sheet name="Summary" sheetId="12" r:id="rId1"/>
    <sheet name="Revenue" sheetId="15" r:id="rId2"/>
    <sheet name="Revenue Worksheet" sheetId="48" r:id="rId3"/>
    <sheet name="Operational Expense" sheetId="1" r:id="rId4"/>
    <sheet name="Wages" sheetId="2" r:id="rId5"/>
    <sheet name="Employee &amp; Ret. Health Benefits" sheetId="3" r:id="rId6"/>
    <sheet name=" PERS Retirement Benifits" sheetId="4" r:id="rId7"/>
    <sheet name="Workers Comp" sheetId="5" r:id="rId8"/>
    <sheet name="Payroll Taxes" sheetId="6" r:id="rId9"/>
    <sheet name="Unemployment Taxes" sheetId="7" r:id="rId10"/>
    <sheet name="Utilities&amp;Auto" sheetId="25" r:id="rId11"/>
    <sheet name="Utility&amp;Auto&amp;Misc. Worksheet" sheetId="24" r:id="rId12"/>
    <sheet name="Training And Travel" sheetId="9" r:id="rId13"/>
    <sheet name="Professional Services" sheetId="10" r:id="rId14"/>
    <sheet name="professional Services worksheet" sheetId="36" r:id="rId15"/>
    <sheet name="Capital reserve reference" sheetId="28" r:id="rId16"/>
    <sheet name="CPUD Vehicles" sheetId="29" r:id="rId17"/>
    <sheet name="Fire &amp; Ambulance Vehicles" sheetId="30" r:id="rId18"/>
    <sheet name="CPUD Emergency Equipment" sheetId="31" r:id="rId19"/>
    <sheet name="Water Fund" sheetId="32" r:id="rId20"/>
    <sheet name=" Sanitation Fund" sheetId="33" r:id="rId21"/>
    <sheet name="198 Main St." sheetId="34" r:id="rId22"/>
    <sheet name="Fire Station" sheetId="35" r:id="rId23"/>
    <sheet name="Capitol Allocation" sheetId="47" r:id="rId24"/>
    <sheet name="Office Capitol Priority" sheetId="37" r:id="rId25"/>
    <sheet name="Sanitation Capitol Priority" sheetId="38" r:id="rId26"/>
    <sheet name="Distribution Capitol priority" sheetId="39" r:id="rId27"/>
    <sheet name="Fire &amp; Water Headquarters" sheetId="40" r:id="rId28"/>
    <sheet name=" Sanitation assets" sheetId="41" r:id="rId29"/>
    <sheet name="Water Asset priority" sheetId="46" r:id="rId30"/>
    <sheet name="198 main Fire Capitol Priority" sheetId="42" r:id="rId31"/>
    <sheet name="Ambulance capitol priority" sheetId="44" r:id="rId32"/>
    <sheet name="Fire Capitol Priority" sheetId="45" r:id="rId33"/>
  </sheets>
  <definedNames>
    <definedName name="ColumnTitle1" localSheetId="28">SimpleInvoice6[[#Headers],[Priority]]</definedName>
    <definedName name="ColumnTitle1" localSheetId="30">SimpleInvoice7[[#Headers],[Priority]]</definedName>
    <definedName name="ColumnTitle1" localSheetId="31">SimpleInvoice9[[#Headers],[Priority]]</definedName>
    <definedName name="ColumnTitle1" localSheetId="26">SimpleInvoice4[[#Headers],[Priority]]</definedName>
    <definedName name="ColumnTitle1" localSheetId="27">SimpleInvoice5[[#Headers],[Priority]]</definedName>
    <definedName name="ColumnTitle1" localSheetId="32">SimpleInvoice10[[#Headers],[Priority]]</definedName>
    <definedName name="ColumnTitle1" localSheetId="25">SimpleInvoice3[[#Headers],[Priority]]</definedName>
    <definedName name="ColumnTitle1" localSheetId="29">SimpleInvoice11[[#Headers],[Priority]]</definedName>
    <definedName name="ColumnTitle1">SimpleInvoice[[#Headers],[Priority]]</definedName>
    <definedName name="company_name" localSheetId="28">' Sanitation assets'!$B$1</definedName>
    <definedName name="company_name" localSheetId="30">'198 main Fire Capitol Priority'!$B$1</definedName>
    <definedName name="company_name" localSheetId="31">'Ambulance capitol priority'!$B$1</definedName>
    <definedName name="company_name" localSheetId="26">'Distribution Capitol priority'!$B$1</definedName>
    <definedName name="company_name" localSheetId="27">'Fire &amp; Water Headquarters'!$B$1</definedName>
    <definedName name="company_name" localSheetId="32">'Fire Capitol Priority'!$B$1</definedName>
    <definedName name="company_name" localSheetId="25">'Sanitation Capitol Priority'!$B$1</definedName>
    <definedName name="company_name" localSheetId="29">'Water Asset priority'!$B$1</definedName>
    <definedName name="company_name">'Office Capitol Priority'!$B$1</definedName>
    <definedName name="_xlnm.Print_Titles" localSheetId="28">' Sanitation assets'!$2:$2</definedName>
    <definedName name="_xlnm.Print_Titles" localSheetId="30">'198 main Fire Capitol Priority'!$2:$2</definedName>
    <definedName name="_xlnm.Print_Titles" localSheetId="31">'Ambulance capitol priority'!$2:$2</definedName>
    <definedName name="_xlnm.Print_Titles" localSheetId="26">'Distribution Capitol priority'!$2:$2</definedName>
    <definedName name="_xlnm.Print_Titles" localSheetId="27">'Fire &amp; Water Headquarters'!$2:$2</definedName>
    <definedName name="_xlnm.Print_Titles" localSheetId="32">'Fire Capitol Priority'!$2:$2</definedName>
    <definedName name="_xlnm.Print_Titles" localSheetId="24">'Office Capitol Priority'!$2:$2</definedName>
    <definedName name="_xlnm.Print_Titles" localSheetId="25">'Sanitation Capitol Priority'!$2:$2</definedName>
    <definedName name="_xlnm.Print_Titles" localSheetId="29">'Water Asset priority'!$2:$2</definedName>
    <definedName name="RowTitleRegion1..C7" localSheetId="28">' Sanitation assets'!#REF!</definedName>
    <definedName name="RowTitleRegion1..C7" localSheetId="30">'198 main Fire Capitol Priority'!#REF!</definedName>
    <definedName name="RowTitleRegion1..C7" localSheetId="31">'Ambulance capitol priority'!#REF!</definedName>
    <definedName name="RowTitleRegion1..C7" localSheetId="26">'Distribution Capitol priority'!#REF!</definedName>
    <definedName name="RowTitleRegion1..C7" localSheetId="27">'Fire &amp; Water Headquarters'!#REF!</definedName>
    <definedName name="RowTitleRegion1..C7" localSheetId="32">'Fire Capitol Priority'!#REF!</definedName>
    <definedName name="RowTitleRegion1..C7" localSheetId="25">'Sanitation Capitol Priority'!#REF!</definedName>
    <definedName name="RowTitleRegion1..C7" localSheetId="29">'Water Asset priority'!#REF!</definedName>
    <definedName name="RowTitleRegion1..C7">'Office Capitol Priority'!#REF!</definedName>
    <definedName name="RowTitleRegion2..G5" localSheetId="28">' Sanitation assets'!#REF!</definedName>
    <definedName name="RowTitleRegion2..G5" localSheetId="30">'198 main Fire Capitol Priority'!#REF!</definedName>
    <definedName name="RowTitleRegion2..G5" localSheetId="31">'Ambulance capitol priority'!#REF!</definedName>
    <definedName name="RowTitleRegion2..G5" localSheetId="26">'Distribution Capitol priority'!#REF!</definedName>
    <definedName name="RowTitleRegion2..G5" localSheetId="27">'Fire &amp; Water Headquarters'!#REF!</definedName>
    <definedName name="RowTitleRegion2..G5" localSheetId="32">'Fire Capitol Priority'!#REF!</definedName>
    <definedName name="RowTitleRegion2..G5" localSheetId="25">'Sanitation Capitol Priority'!#REF!</definedName>
    <definedName name="RowTitleRegion2..G5" localSheetId="29">'Water Asset priority'!#REF!</definedName>
    <definedName name="RowTitleRegion2..G5">'Office Capitol Priority'!#REF!</definedName>
    <definedName name="RowTitleRegion3..G26" localSheetId="28">' Sanitation assets'!#REF!</definedName>
    <definedName name="RowTitleRegion3..G26" localSheetId="30">'198 main Fire Capitol Priority'!#REF!</definedName>
    <definedName name="RowTitleRegion3..G26" localSheetId="31">'Ambulance capitol priority'!#REF!</definedName>
    <definedName name="RowTitleRegion3..G26" localSheetId="26">'Distribution Capitol priority'!#REF!</definedName>
    <definedName name="RowTitleRegion3..G26" localSheetId="27">'Fire &amp; Water Headquarters'!#REF!</definedName>
    <definedName name="RowTitleRegion3..G26" localSheetId="32">'Fire Capitol Priority'!#REF!</definedName>
    <definedName name="RowTitleRegion3..G26" localSheetId="25">'Sanitation Capitol Priority'!#REF!</definedName>
    <definedName name="RowTitleRegion3..G26" localSheetId="29">'Water Asset priority'!#REF!</definedName>
    <definedName name="RowTitleRegion3..G26">'Office Capitol Priority'!#REF!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79" i="1"/>
  <c r="C94" i="1"/>
  <c r="C145" i="1"/>
  <c r="C8" i="1"/>
  <c r="C10" i="15"/>
  <c r="H61" i="4" l="1"/>
  <c r="F61" i="4"/>
  <c r="D61" i="4"/>
  <c r="B61" i="4"/>
  <c r="H28" i="4" l="1"/>
  <c r="Q28" i="4"/>
  <c r="P28" i="4"/>
  <c r="O28" i="4"/>
  <c r="N28" i="4"/>
  <c r="N30" i="4"/>
  <c r="H31" i="4" l="1"/>
  <c r="N308" i="24"/>
  <c r="P310" i="24" s="1"/>
  <c r="N307" i="24"/>
  <c r="P307" i="24" s="1"/>
  <c r="H78" i="2" l="1"/>
  <c r="K17" i="3"/>
  <c r="H36" i="24" l="1"/>
  <c r="C9" i="25" s="1"/>
  <c r="D5" i="12" l="1"/>
  <c r="C245" i="1"/>
  <c r="I19" i="3"/>
  <c r="G19" i="3"/>
  <c r="E19" i="3"/>
  <c r="C19" i="3"/>
  <c r="N275" i="24" l="1"/>
  <c r="P277" i="24" s="1"/>
  <c r="Q57" i="36" l="1"/>
  <c r="P25" i="36"/>
  <c r="B18" i="5"/>
  <c r="B17" i="5"/>
  <c r="B16" i="5"/>
  <c r="I50" i="3" l="1"/>
  <c r="S22" i="2" l="1"/>
  <c r="K20" i="9"/>
  <c r="K14" i="9"/>
  <c r="K26" i="9"/>
  <c r="K64" i="9"/>
  <c r="K94" i="9"/>
  <c r="K93" i="9"/>
  <c r="H106" i="2"/>
  <c r="J116" i="2" s="1"/>
  <c r="D106" i="2"/>
  <c r="B21" i="5" s="1"/>
  <c r="F21" i="5" s="1"/>
  <c r="H21" i="5" s="1"/>
  <c r="E52" i="5" s="1"/>
  <c r="F102" i="2"/>
  <c r="F100" i="2"/>
  <c r="H97" i="2"/>
  <c r="D97" i="2"/>
  <c r="F97" i="2" s="1"/>
  <c r="H96" i="2"/>
  <c r="D96" i="2"/>
  <c r="F96" i="2" s="1"/>
  <c r="H95" i="2"/>
  <c r="D95" i="2"/>
  <c r="F95" i="2" s="1"/>
  <c r="L96" i="2" l="1"/>
  <c r="L95" i="2"/>
  <c r="L97" i="2"/>
  <c r="B18" i="6" s="1"/>
  <c r="B18" i="4"/>
  <c r="J106" i="2"/>
  <c r="C209" i="1" s="1"/>
  <c r="F46" i="2"/>
  <c r="F17" i="2"/>
  <c r="F16" i="2"/>
  <c r="F15" i="2"/>
  <c r="O11" i="2"/>
  <c r="N11" i="2"/>
  <c r="L8" i="2"/>
  <c r="F74" i="2"/>
  <c r="F72" i="2"/>
  <c r="F73" i="2"/>
  <c r="H35" i="2"/>
  <c r="F37" i="2"/>
  <c r="F66" i="2"/>
  <c r="F65" i="2"/>
  <c r="H116" i="2" l="1"/>
  <c r="O104" i="2"/>
  <c r="B16" i="4"/>
  <c r="B16" i="6"/>
  <c r="B17" i="6"/>
  <c r="B17" i="4"/>
  <c r="O95" i="2"/>
  <c r="M14" i="2"/>
  <c r="O14" i="2" s="1"/>
  <c r="P40" i="2"/>
  <c r="O40" i="2"/>
  <c r="N40" i="2"/>
  <c r="Q40" i="2"/>
  <c r="P25" i="4"/>
  <c r="Q24" i="4"/>
  <c r="O23" i="4"/>
  <c r="O22" i="4"/>
  <c r="P21" i="4"/>
  <c r="O20" i="4"/>
  <c r="G28" i="4"/>
  <c r="G30" i="4" s="1"/>
  <c r="N14" i="2" l="1"/>
  <c r="D116" i="2" s="1"/>
  <c r="C7" i="1" s="1"/>
  <c r="F116" i="2"/>
  <c r="C76" i="1" s="1"/>
  <c r="N22" i="4"/>
  <c r="N23" i="4"/>
  <c r="N20" i="4"/>
  <c r="O301" i="24"/>
  <c r="N301" i="24"/>
  <c r="C76" i="25" s="1"/>
  <c r="C30" i="1" s="1"/>
  <c r="M301" i="24"/>
  <c r="N334" i="24"/>
  <c r="D76" i="25" s="1"/>
  <c r="M334" i="24"/>
  <c r="O334" i="24"/>
  <c r="M368" i="24"/>
  <c r="C159" i="1" s="1"/>
  <c r="O368" i="24"/>
  <c r="O401" i="24"/>
  <c r="O402" i="24" s="1"/>
  <c r="O403" i="24" s="1"/>
  <c r="J401" i="24"/>
  <c r="L401" i="24"/>
  <c r="J366" i="24"/>
  <c r="J367" i="24" s="1"/>
  <c r="L366" i="24"/>
  <c r="J332" i="24"/>
  <c r="L332" i="24"/>
  <c r="L333" i="24" s="1"/>
  <c r="I299" i="24"/>
  <c r="I300" i="24" s="1"/>
  <c r="L299" i="24"/>
  <c r="J299" i="24"/>
  <c r="J368" i="24" l="1"/>
  <c r="M402" i="24"/>
  <c r="M403" i="24" s="1"/>
  <c r="J402" i="24"/>
  <c r="J403" i="24" s="1"/>
  <c r="F66" i="25" s="1"/>
  <c r="C230" i="1" s="1"/>
  <c r="J300" i="24"/>
  <c r="J301" i="24" s="1"/>
  <c r="J333" i="24"/>
  <c r="J334" i="24" s="1"/>
  <c r="L367" i="24"/>
  <c r="L368" i="24" s="1"/>
  <c r="E77" i="25" s="1"/>
  <c r="C157" i="1" s="1"/>
  <c r="L402" i="24"/>
  <c r="L403" i="24" s="1"/>
  <c r="F77" i="25" s="1"/>
  <c r="C220" i="1" s="1"/>
  <c r="L334" i="24"/>
  <c r="L300" i="24"/>
  <c r="L301" i="24" s="1"/>
  <c r="C77" i="25" s="1"/>
  <c r="C22" i="1" s="1"/>
  <c r="D77" i="25" l="1"/>
  <c r="C92" i="1"/>
  <c r="C97" i="1"/>
  <c r="B164" i="48"/>
  <c r="C139" i="15" s="1"/>
  <c r="C95" i="15"/>
  <c r="C94" i="15"/>
  <c r="B119" i="48"/>
  <c r="C119" i="48"/>
  <c r="D75" i="48"/>
  <c r="C52" i="15" s="1"/>
  <c r="B75" i="48"/>
  <c r="C50" i="15" s="1"/>
  <c r="C75" i="48"/>
  <c r="C51" i="15" s="1"/>
  <c r="F75" i="48"/>
  <c r="C8" i="15"/>
  <c r="B30" i="48"/>
  <c r="C7" i="15" s="1"/>
  <c r="C30" i="48"/>
  <c r="D30" i="48"/>
  <c r="C9" i="15" s="1"/>
  <c r="K5" i="40"/>
  <c r="K3" i="37"/>
  <c r="K4" i="37"/>
  <c r="K5" i="37"/>
  <c r="K6" i="37"/>
  <c r="H275" i="24" l="1"/>
  <c r="P276" i="24" s="1"/>
  <c r="H377" i="24"/>
  <c r="P377" i="24" s="1"/>
  <c r="H343" i="24"/>
  <c r="P343" i="24" s="1"/>
  <c r="H309" i="24"/>
  <c r="P309" i="24" s="1"/>
  <c r="H274" i="24"/>
  <c r="P275" i="24" s="1"/>
  <c r="P342" i="24"/>
  <c r="H308" i="24"/>
  <c r="P308" i="24" s="1"/>
  <c r="E119" i="48"/>
  <c r="F30" i="48"/>
  <c r="J9" i="45"/>
  <c r="J10" i="45"/>
  <c r="J11" i="45"/>
  <c r="J12" i="45"/>
  <c r="J13" i="45"/>
  <c r="J14" i="45"/>
  <c r="J15" i="45"/>
  <c r="J16" i="45"/>
  <c r="J17" i="45"/>
  <c r="J12" i="44"/>
  <c r="J13" i="44"/>
  <c r="J14" i="44"/>
  <c r="J15" i="44"/>
  <c r="J16" i="44"/>
  <c r="J17" i="44"/>
  <c r="J18" i="44" l="1"/>
  <c r="J18" i="45"/>
  <c r="J6" i="41"/>
  <c r="N375" i="24" l="1"/>
  <c r="N401" i="24" s="1"/>
  <c r="N402" i="24" s="1"/>
  <c r="N403" i="24" s="1"/>
  <c r="F76" i="25" s="1"/>
  <c r="C232" i="1"/>
  <c r="N341" i="24"/>
  <c r="N368" i="24" s="1"/>
  <c r="E76" i="25" s="1"/>
  <c r="C169" i="1"/>
  <c r="K4" i="40"/>
  <c r="J6" i="40"/>
  <c r="K6" i="40" s="1"/>
  <c r="J7" i="40"/>
  <c r="K7" i="40" s="1"/>
  <c r="J8" i="40"/>
  <c r="K8" i="40" s="1"/>
  <c r="J9" i="40"/>
  <c r="K9" i="40" s="1"/>
  <c r="J10" i="40"/>
  <c r="K10" i="40" s="1"/>
  <c r="J11" i="40"/>
  <c r="K11" i="40" s="1"/>
  <c r="J12" i="40"/>
  <c r="K12" i="40" s="1"/>
  <c r="J13" i="40"/>
  <c r="K13" i="40" s="1"/>
  <c r="J14" i="40"/>
  <c r="K14" i="40" s="1"/>
  <c r="J15" i="40"/>
  <c r="K15" i="40" s="1"/>
  <c r="J16" i="40"/>
  <c r="K16" i="40" s="1"/>
  <c r="J17" i="40"/>
  <c r="K17" i="40" s="1"/>
  <c r="J18" i="40"/>
  <c r="K18" i="40" s="1"/>
  <c r="J19" i="40"/>
  <c r="K19" i="40" s="1"/>
  <c r="J20" i="40"/>
  <c r="K20" i="40" s="1"/>
  <c r="J21" i="40"/>
  <c r="K21" i="40" s="1"/>
  <c r="J22" i="40"/>
  <c r="K22" i="40" s="1"/>
  <c r="J23" i="40"/>
  <c r="K23" i="40" s="1"/>
  <c r="J24" i="40"/>
  <c r="K24" i="40" s="1"/>
  <c r="J25" i="40"/>
  <c r="K25" i="40" s="1"/>
  <c r="J26" i="40"/>
  <c r="K26" i="40" s="1"/>
  <c r="J27" i="40"/>
  <c r="K27" i="40" s="1"/>
  <c r="J28" i="40"/>
  <c r="K28" i="40" s="1"/>
  <c r="J29" i="40"/>
  <c r="K29" i="40" s="1"/>
  <c r="J30" i="40"/>
  <c r="K30" i="40" s="1"/>
  <c r="J31" i="40"/>
  <c r="K31" i="40" s="1"/>
  <c r="J32" i="40"/>
  <c r="K32" i="40" s="1"/>
  <c r="J33" i="40"/>
  <c r="K33" i="40" s="1"/>
  <c r="J34" i="40"/>
  <c r="K34" i="40" s="1"/>
  <c r="J35" i="40"/>
  <c r="K35" i="40" s="1"/>
  <c r="J36" i="40"/>
  <c r="K36" i="40" s="1"/>
  <c r="J37" i="40"/>
  <c r="K37" i="40" s="1"/>
  <c r="J38" i="40"/>
  <c r="K38" i="40" s="1"/>
  <c r="J39" i="40"/>
  <c r="K39" i="40" s="1"/>
  <c r="J40" i="40"/>
  <c r="K40" i="40" s="1"/>
  <c r="J7" i="39"/>
  <c r="J8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J38" i="39"/>
  <c r="J39" i="39"/>
  <c r="J40" i="39"/>
  <c r="J41" i="39"/>
  <c r="J14" i="38"/>
  <c r="J15" i="38"/>
  <c r="J16" i="38"/>
  <c r="J17" i="38"/>
  <c r="H376" i="24" l="1"/>
  <c r="H342" i="24"/>
  <c r="J7" i="37"/>
  <c r="K7" i="37" s="1"/>
  <c r="J8" i="37"/>
  <c r="K8" i="37" s="1"/>
  <c r="J9" i="37"/>
  <c r="K9" i="37" s="1"/>
  <c r="J10" i="37"/>
  <c r="K10" i="37" s="1"/>
  <c r="J11" i="37"/>
  <c r="K11" i="37" s="1"/>
  <c r="J12" i="37"/>
  <c r="K12" i="37" s="1"/>
  <c r="J13" i="37"/>
  <c r="K13" i="37" s="1"/>
  <c r="J14" i="37"/>
  <c r="K14" i="37" s="1"/>
  <c r="J15" i="37"/>
  <c r="K15" i="37" s="1"/>
  <c r="J16" i="37"/>
  <c r="K16" i="37" s="1"/>
  <c r="J17" i="37"/>
  <c r="K17" i="37" s="1"/>
  <c r="N57" i="36" l="1"/>
  <c r="M95" i="36"/>
  <c r="L95" i="36"/>
  <c r="B25" i="36"/>
  <c r="C25" i="36"/>
  <c r="D25" i="36"/>
  <c r="B6" i="10" s="1"/>
  <c r="E25" i="36"/>
  <c r="B5" i="10" s="1"/>
  <c r="F25" i="36"/>
  <c r="G25" i="36"/>
  <c r="H25" i="36"/>
  <c r="I25" i="36"/>
  <c r="J25" i="36"/>
  <c r="K25" i="36"/>
  <c r="L25" i="36"/>
  <c r="B7" i="10" s="1"/>
  <c r="M25" i="36"/>
  <c r="N25" i="36"/>
  <c r="O25" i="36"/>
  <c r="B9" i="10" s="1"/>
  <c r="B57" i="36"/>
  <c r="C57" i="36"/>
  <c r="D57" i="36"/>
  <c r="C6" i="10" s="1"/>
  <c r="E57" i="36"/>
  <c r="C5" i="10" s="1"/>
  <c r="F57" i="36"/>
  <c r="G57" i="36"/>
  <c r="H57" i="36"/>
  <c r="I57" i="36"/>
  <c r="J57" i="36"/>
  <c r="K57" i="36"/>
  <c r="L57" i="36"/>
  <c r="C7" i="10" s="1"/>
  <c r="O57" i="36"/>
  <c r="C9" i="10" s="1"/>
  <c r="P57" i="36"/>
  <c r="O95" i="36"/>
  <c r="D9" i="10" s="1"/>
  <c r="R95" i="36"/>
  <c r="O127" i="36"/>
  <c r="E9" i="10" s="1"/>
  <c r="B95" i="36"/>
  <c r="C95" i="36"/>
  <c r="D95" i="36"/>
  <c r="E95" i="36"/>
  <c r="D5" i="10" s="1"/>
  <c r="F95" i="36"/>
  <c r="G95" i="36"/>
  <c r="H95" i="36"/>
  <c r="I95" i="36"/>
  <c r="J95" i="36"/>
  <c r="K95" i="36"/>
  <c r="P95" i="36"/>
  <c r="Q95" i="36"/>
  <c r="S95" i="36"/>
  <c r="L127" i="36"/>
  <c r="E7" i="10" s="1"/>
  <c r="M127" i="36"/>
  <c r="B127" i="36"/>
  <c r="C127" i="36"/>
  <c r="E127" i="36"/>
  <c r="E5" i="10" s="1"/>
  <c r="F127" i="36"/>
  <c r="G127" i="36"/>
  <c r="H127" i="36"/>
  <c r="I127" i="36"/>
  <c r="J127" i="36"/>
  <c r="K127" i="36"/>
  <c r="B8" i="10" l="1"/>
  <c r="D8" i="10"/>
  <c r="E8" i="10"/>
  <c r="C8" i="10"/>
  <c r="Q25" i="36"/>
  <c r="Q26" i="36" s="1"/>
  <c r="F32" i="36" s="1"/>
  <c r="B14" i="10" s="1"/>
  <c r="C26" i="1" s="1"/>
  <c r="V95" i="36"/>
  <c r="V96" i="36" s="1"/>
  <c r="H99" i="36" s="1"/>
  <c r="D14" i="10" s="1"/>
  <c r="C164" i="1" s="1"/>
  <c r="P127" i="36"/>
  <c r="P128" i="36" s="1"/>
  <c r="F131" i="36" s="1"/>
  <c r="E14" i="10" s="1"/>
  <c r="C227" i="1" s="1"/>
  <c r="D7" i="10"/>
  <c r="R57" i="36"/>
  <c r="R58" i="36" s="1"/>
  <c r="H65" i="36" s="1"/>
  <c r="C14" i="10" s="1"/>
  <c r="C88" i="1" s="1"/>
  <c r="E5" i="28"/>
  <c r="D5" i="28"/>
  <c r="B5" i="28"/>
  <c r="C5" i="28"/>
  <c r="E82" i="35"/>
  <c r="E4" i="35" s="1"/>
  <c r="G4" i="35" s="1"/>
  <c r="E82" i="34"/>
  <c r="E4" i="34" s="1"/>
  <c r="G4" i="34" s="1"/>
  <c r="E82" i="33"/>
  <c r="E4" i="33" s="1"/>
  <c r="G4" i="33" s="1"/>
  <c r="E191" i="33"/>
  <c r="E104" i="33" s="1"/>
  <c r="G104" i="33" s="1"/>
  <c r="E88" i="32"/>
  <c r="E4" i="32" s="1"/>
  <c r="G4" i="32" s="1"/>
  <c r="G3" i="31"/>
  <c r="G4" i="31" s="1"/>
  <c r="G14" i="31"/>
  <c r="G15" i="31" s="1"/>
  <c r="G16" i="31" s="1"/>
  <c r="G17" i="31" s="1"/>
  <c r="G18" i="31" s="1"/>
  <c r="G19" i="31" s="1"/>
  <c r="G20" i="31" s="1"/>
  <c r="G21" i="31" s="1"/>
  <c r="G22" i="31" s="1"/>
  <c r="G23" i="31" s="1"/>
  <c r="G24" i="31" s="1"/>
  <c r="G25" i="31" s="1"/>
  <c r="G26" i="31" s="1"/>
  <c r="G27" i="31" s="1"/>
  <c r="G71" i="31"/>
  <c r="G72" i="31" s="1"/>
  <c r="G77" i="31"/>
  <c r="G78" i="31" s="1"/>
  <c r="G79" i="31" s="1"/>
  <c r="G80" i="31" s="1"/>
  <c r="G81" i="31" s="1"/>
  <c r="G82" i="31" s="1"/>
  <c r="G83" i="31" s="1"/>
  <c r="G84" i="31" s="1"/>
  <c r="G85" i="31" s="1"/>
  <c r="G86" i="31" s="1"/>
  <c r="G87" i="31" s="1"/>
  <c r="G88" i="31" s="1"/>
  <c r="G89" i="31" s="1"/>
  <c r="G90" i="31" s="1"/>
  <c r="G91" i="31" s="1"/>
  <c r="G92" i="31" s="1"/>
  <c r="G93" i="31" s="1"/>
  <c r="G94" i="31" s="1"/>
  <c r="G95" i="31" s="1"/>
  <c r="G138" i="31"/>
  <c r="D173" i="31" s="1"/>
  <c r="G149" i="31"/>
  <c r="G150" i="31" s="1"/>
  <c r="G151" i="31" s="1"/>
  <c r="G152" i="31" s="1"/>
  <c r="G153" i="31" s="1"/>
  <c r="G154" i="31" s="1"/>
  <c r="G155" i="31" s="1"/>
  <c r="G156" i="31" s="1"/>
  <c r="G157" i="31" s="1"/>
  <c r="G158" i="31" s="1"/>
  <c r="G159" i="31" s="1"/>
  <c r="G160" i="31" s="1"/>
  <c r="G161" i="31" s="1"/>
  <c r="G162" i="31" s="1"/>
  <c r="G206" i="31"/>
  <c r="G207" i="31" s="1"/>
  <c r="G217" i="31"/>
  <c r="G218" i="31" s="1"/>
  <c r="G219" i="31" s="1"/>
  <c r="G220" i="31" s="1"/>
  <c r="G221" i="31" s="1"/>
  <c r="G222" i="31" s="1"/>
  <c r="G223" i="31" s="1"/>
  <c r="G224" i="31" s="1"/>
  <c r="G225" i="31" s="1"/>
  <c r="G226" i="31" s="1"/>
  <c r="G227" i="31" s="1"/>
  <c r="G228" i="31" s="1"/>
  <c r="G229" i="31" s="1"/>
  <c r="G230" i="31" s="1"/>
  <c r="G2" i="30"/>
  <c r="G3" i="30" s="1"/>
  <c r="G13" i="30"/>
  <c r="G14" i="30" s="1"/>
  <c r="G15" i="30" s="1"/>
  <c r="G16" i="30" s="1"/>
  <c r="G17" i="30" s="1"/>
  <c r="G18" i="30" s="1"/>
  <c r="G19" i="30" s="1"/>
  <c r="G20" i="30" s="1"/>
  <c r="G21" i="30" s="1"/>
  <c r="G22" i="30" s="1"/>
  <c r="G23" i="30" s="1"/>
  <c r="G24" i="30" s="1"/>
  <c r="G25" i="30" s="1"/>
  <c r="G26" i="30" s="1"/>
  <c r="G106" i="30"/>
  <c r="G107" i="30" s="1"/>
  <c r="G117" i="30"/>
  <c r="G118" i="30" s="1"/>
  <c r="G119" i="30" s="1"/>
  <c r="G120" i="30" s="1"/>
  <c r="G121" i="30" s="1"/>
  <c r="G122" i="30" s="1"/>
  <c r="G123" i="30" s="1"/>
  <c r="G124" i="30" s="1"/>
  <c r="G125" i="30" s="1"/>
  <c r="G126" i="30" s="1"/>
  <c r="G127" i="30" s="1"/>
  <c r="G128" i="30" s="1"/>
  <c r="G129" i="30" s="1"/>
  <c r="G130" i="30" s="1"/>
  <c r="G161" i="30"/>
  <c r="G162" i="30" s="1"/>
  <c r="G163" i="30" s="1"/>
  <c r="G164" i="30" s="1"/>
  <c r="G165" i="30" s="1"/>
  <c r="G166" i="30" s="1"/>
  <c r="G167" i="30" s="1"/>
  <c r="G168" i="30" s="1"/>
  <c r="G169" i="30" s="1"/>
  <c r="G170" i="30" s="1"/>
  <c r="G172" i="30"/>
  <c r="G173" i="30" s="1"/>
  <c r="G174" i="30" s="1"/>
  <c r="G175" i="30" s="1"/>
  <c r="G176" i="30" s="1"/>
  <c r="G177" i="30" s="1"/>
  <c r="G178" i="30" s="1"/>
  <c r="G179" i="30" s="1"/>
  <c r="G180" i="30" s="1"/>
  <c r="G181" i="30" s="1"/>
  <c r="G182" i="30" s="1"/>
  <c r="G183" i="30" s="1"/>
  <c r="G184" i="30" s="1"/>
  <c r="G185" i="30" s="1"/>
  <c r="G3" i="29"/>
  <c r="G4" i="29" s="1"/>
  <c r="G14" i="29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E43" i="29"/>
  <c r="G70" i="29"/>
  <c r="E106" i="29" s="1"/>
  <c r="G81" i="29"/>
  <c r="G82" i="29" s="1"/>
  <c r="G83" i="29" s="1"/>
  <c r="G84" i="29" s="1"/>
  <c r="G85" i="29" s="1"/>
  <c r="G86" i="29" s="1"/>
  <c r="G87" i="29" s="1"/>
  <c r="G88" i="29" s="1"/>
  <c r="G89" i="29" s="1"/>
  <c r="G90" i="29" s="1"/>
  <c r="G91" i="29" s="1"/>
  <c r="G92" i="29" s="1"/>
  <c r="G93" i="29" s="1"/>
  <c r="G94" i="29" s="1"/>
  <c r="G139" i="29"/>
  <c r="G140" i="29" s="1"/>
  <c r="E39" i="30" l="1"/>
  <c r="E40" i="30" s="1"/>
  <c r="E41" i="30" s="1"/>
  <c r="E42" i="30" s="1"/>
  <c r="E43" i="30" s="1"/>
  <c r="E44" i="30" s="1"/>
  <c r="E45" i="30" s="1"/>
  <c r="E46" i="30" s="1"/>
  <c r="E47" i="30" s="1"/>
  <c r="E48" i="30" s="1"/>
  <c r="E191" i="30"/>
  <c r="E192" i="30" s="1"/>
  <c r="E193" i="30" s="1"/>
  <c r="E194" i="30" s="1"/>
  <c r="E195" i="30" s="1"/>
  <c r="E196" i="30" s="1"/>
  <c r="E197" i="30" s="1"/>
  <c r="E198" i="30" s="1"/>
  <c r="E199" i="30" s="1"/>
  <c r="E200" i="30" s="1"/>
  <c r="F175" i="29"/>
  <c r="E175" i="29"/>
  <c r="E38" i="31"/>
  <c r="G71" i="29"/>
  <c r="F107" i="29" s="1"/>
  <c r="G139" i="31"/>
  <c r="G140" i="31" s="1"/>
  <c r="G141" i="31" s="1"/>
  <c r="G142" i="31" s="1"/>
  <c r="G5" i="31"/>
  <c r="E40" i="31" s="1"/>
  <c r="E39" i="31"/>
  <c r="D97" i="31"/>
  <c r="F38" i="35"/>
  <c r="G38" i="35"/>
  <c r="G5" i="35"/>
  <c r="D38" i="35"/>
  <c r="E38" i="35"/>
  <c r="G5" i="34"/>
  <c r="D38" i="34"/>
  <c r="G105" i="33"/>
  <c r="D139" i="33"/>
  <c r="G5" i="33"/>
  <c r="D38" i="33"/>
  <c r="G5" i="32"/>
  <c r="D38" i="32"/>
  <c r="G73" i="31"/>
  <c r="D98" i="31"/>
  <c r="E98" i="31"/>
  <c r="G208" i="31"/>
  <c r="D242" i="31"/>
  <c r="E97" i="31"/>
  <c r="D241" i="31"/>
  <c r="G108" i="30"/>
  <c r="G109" i="30" s="1"/>
  <c r="G110" i="30" s="1"/>
  <c r="G111" i="30" s="1"/>
  <c r="G112" i="30" s="1"/>
  <c r="G113" i="30" s="1"/>
  <c r="G114" i="30" s="1"/>
  <c r="G115" i="30" s="1"/>
  <c r="G187" i="30"/>
  <c r="G4" i="30"/>
  <c r="G5" i="30" s="1"/>
  <c r="G6" i="30" s="1"/>
  <c r="G7" i="30" s="1"/>
  <c r="G8" i="30" s="1"/>
  <c r="G9" i="30" s="1"/>
  <c r="G10" i="30" s="1"/>
  <c r="G11" i="30" s="1"/>
  <c r="E142" i="30"/>
  <c r="E143" i="30" s="1"/>
  <c r="E144" i="30" s="1"/>
  <c r="E145" i="30" s="1"/>
  <c r="E146" i="30" s="1"/>
  <c r="E147" i="30" s="1"/>
  <c r="E148" i="30" s="1"/>
  <c r="E149" i="30" s="1"/>
  <c r="E150" i="30" s="1"/>
  <c r="E151" i="30" s="1"/>
  <c r="D44" i="29"/>
  <c r="E44" i="29"/>
  <c r="G5" i="29"/>
  <c r="E176" i="29"/>
  <c r="F176" i="29"/>
  <c r="G141" i="29"/>
  <c r="F106" i="29"/>
  <c r="D43" i="29"/>
  <c r="A299" i="24"/>
  <c r="A300" i="24" s="1"/>
  <c r="B299" i="24"/>
  <c r="B300" i="24" s="1"/>
  <c r="B301" i="24" s="1"/>
  <c r="C67" i="25" s="1"/>
  <c r="C299" i="24"/>
  <c r="C300" i="24" s="1"/>
  <c r="C301" i="24" s="1"/>
  <c r="C68" i="25" s="1"/>
  <c r="C9" i="1" s="1"/>
  <c r="D299" i="24"/>
  <c r="D300" i="24" s="1"/>
  <c r="D301" i="24" s="1"/>
  <c r="C69" i="25" s="1"/>
  <c r="C11" i="1" s="1"/>
  <c r="E299" i="24"/>
  <c r="E300" i="24" s="1"/>
  <c r="E301" i="24" s="1"/>
  <c r="C70" i="25" s="1"/>
  <c r="C12" i="1" s="1"/>
  <c r="F299" i="24"/>
  <c r="G299" i="24"/>
  <c r="H299" i="24"/>
  <c r="I301" i="24"/>
  <c r="K299" i="24"/>
  <c r="D66" i="25"/>
  <c r="E66" i="25"/>
  <c r="C168" i="1" s="1"/>
  <c r="F367" i="24"/>
  <c r="F368" i="24" s="1"/>
  <c r="E71" i="25" s="1"/>
  <c r="C148" i="1" s="1"/>
  <c r="B366" i="24"/>
  <c r="B367" i="24" s="1"/>
  <c r="C366" i="24"/>
  <c r="C367" i="24" s="1"/>
  <c r="D366" i="24"/>
  <c r="D367" i="24" s="1"/>
  <c r="E366" i="24"/>
  <c r="E367" i="24" s="1"/>
  <c r="G366" i="24"/>
  <c r="G367" i="24" s="1"/>
  <c r="G368" i="24" s="1"/>
  <c r="E72" i="25" s="1"/>
  <c r="C165" i="1" s="1"/>
  <c r="H366" i="24"/>
  <c r="I366" i="24"/>
  <c r="I367" i="24" s="1"/>
  <c r="I368" i="24" s="1"/>
  <c r="E74" i="25" s="1"/>
  <c r="C160" i="1" s="1"/>
  <c r="K366" i="24"/>
  <c r="F402" i="24"/>
  <c r="F403" i="24" s="1"/>
  <c r="F71" i="25" s="1"/>
  <c r="B401" i="24"/>
  <c r="C401" i="24"/>
  <c r="D401" i="24"/>
  <c r="E401" i="24"/>
  <c r="G401" i="24"/>
  <c r="H401" i="24"/>
  <c r="H402" i="24" s="1"/>
  <c r="H403" i="24" s="1"/>
  <c r="F73" i="25" s="1"/>
  <c r="C221" i="1" s="1"/>
  <c r="I401" i="24"/>
  <c r="K401" i="24"/>
  <c r="H240" i="24"/>
  <c r="B332" i="24"/>
  <c r="B333" i="24" s="1"/>
  <c r="C332" i="24"/>
  <c r="C333" i="24" s="1"/>
  <c r="D332" i="24"/>
  <c r="D333" i="24" s="1"/>
  <c r="E332" i="24"/>
  <c r="F332" i="24"/>
  <c r="F333" i="24" s="1"/>
  <c r="G332" i="24"/>
  <c r="G333" i="24" s="1"/>
  <c r="H332" i="24"/>
  <c r="H333" i="24" s="1"/>
  <c r="I332" i="24"/>
  <c r="I333" i="24" s="1"/>
  <c r="I334" i="24" s="1"/>
  <c r="D74" i="25" s="1"/>
  <c r="K332" i="24"/>
  <c r="K333" i="24" s="1"/>
  <c r="K267" i="24"/>
  <c r="K268" i="24" s="1"/>
  <c r="F36" i="25" s="1"/>
  <c r="G266" i="24"/>
  <c r="I266" i="24"/>
  <c r="I267" i="24" s="1"/>
  <c r="I268" i="24" s="1"/>
  <c r="F37" i="25" s="1"/>
  <c r="M266" i="24"/>
  <c r="D176" i="31" l="1"/>
  <c r="D175" i="31"/>
  <c r="D174" i="31"/>
  <c r="E107" i="29"/>
  <c r="G6" i="31"/>
  <c r="E41" i="31" s="1"/>
  <c r="K300" i="24"/>
  <c r="K301" i="24" s="1"/>
  <c r="C75" i="25" s="1"/>
  <c r="C74" i="25"/>
  <c r="C24" i="1"/>
  <c r="C368" i="24"/>
  <c r="E68" i="25" s="1"/>
  <c r="C146" i="1" s="1"/>
  <c r="G72" i="29"/>
  <c r="A301" i="24"/>
  <c r="C66" i="25" s="1"/>
  <c r="C29" i="1" s="1"/>
  <c r="K334" i="24"/>
  <c r="E333" i="24"/>
  <c r="E334" i="24" s="1"/>
  <c r="D402" i="24"/>
  <c r="D403" i="24" s="1"/>
  <c r="F69" i="25" s="1"/>
  <c r="C225" i="1" s="1"/>
  <c r="B368" i="24"/>
  <c r="E67" i="25" s="1"/>
  <c r="B334" i="24"/>
  <c r="I402" i="24"/>
  <c r="I403" i="24" s="1"/>
  <c r="F74" i="25" s="1"/>
  <c r="C223" i="1" s="1"/>
  <c r="D368" i="24"/>
  <c r="E69" i="25" s="1"/>
  <c r="C162" i="1" s="1"/>
  <c r="H300" i="24"/>
  <c r="H301" i="24" s="1"/>
  <c r="C73" i="25" s="1"/>
  <c r="C23" i="1" s="1"/>
  <c r="G300" i="24"/>
  <c r="G301" i="24" s="1"/>
  <c r="C27" i="1" s="1"/>
  <c r="G267" i="24"/>
  <c r="G268" i="24" s="1"/>
  <c r="F33" i="25" s="1"/>
  <c r="F334" i="24"/>
  <c r="G402" i="24"/>
  <c r="G403" i="24" s="1"/>
  <c r="F72" i="25" s="1"/>
  <c r="C228" i="1" s="1"/>
  <c r="K367" i="24"/>
  <c r="K368" i="24" s="1"/>
  <c r="E75" i="25" s="1"/>
  <c r="C163" i="1" s="1"/>
  <c r="F300" i="24"/>
  <c r="F301" i="24" s="1"/>
  <c r="C71" i="25" s="1"/>
  <c r="C13" i="1" s="1"/>
  <c r="C334" i="24"/>
  <c r="M267" i="24"/>
  <c r="M268" i="24" s="1"/>
  <c r="F34" i="25" s="1"/>
  <c r="D334" i="24"/>
  <c r="E402" i="24"/>
  <c r="E403" i="24" s="1"/>
  <c r="F70" i="25" s="1"/>
  <c r="C212" i="1" s="1"/>
  <c r="H367" i="24"/>
  <c r="H368" i="24" s="1"/>
  <c r="E73" i="25" s="1"/>
  <c r="C158" i="1" s="1"/>
  <c r="B402" i="24"/>
  <c r="B403" i="24" s="1"/>
  <c r="F67" i="25" s="1"/>
  <c r="C402" i="24"/>
  <c r="C403" i="24" s="1"/>
  <c r="F68" i="25" s="1"/>
  <c r="C211" i="1" s="1"/>
  <c r="K402" i="24"/>
  <c r="K403" i="24" s="1"/>
  <c r="F75" i="25" s="1"/>
  <c r="C226" i="1" s="1"/>
  <c r="E368" i="24"/>
  <c r="E70" i="25" s="1"/>
  <c r="C147" i="1" s="1"/>
  <c r="D39" i="35"/>
  <c r="E39" i="35"/>
  <c r="G39" i="35"/>
  <c r="F39" i="35"/>
  <c r="G6" i="35"/>
  <c r="D39" i="34"/>
  <c r="G6" i="34"/>
  <c r="G6" i="33"/>
  <c r="D39" i="33"/>
  <c r="G106" i="33"/>
  <c r="D140" i="33"/>
  <c r="D39" i="32"/>
  <c r="G6" i="32"/>
  <c r="G209" i="31"/>
  <c r="D243" i="31"/>
  <c r="D99" i="31"/>
  <c r="E99" i="31"/>
  <c r="G74" i="31"/>
  <c r="G7" i="31"/>
  <c r="G143" i="31"/>
  <c r="D177" i="31"/>
  <c r="G132" i="30"/>
  <c r="G28" i="30"/>
  <c r="E45" i="29"/>
  <c r="G6" i="29"/>
  <c r="D45" i="29"/>
  <c r="E177" i="29"/>
  <c r="G142" i="29"/>
  <c r="F177" i="29"/>
  <c r="H334" i="24"/>
  <c r="G334" i="24"/>
  <c r="K232" i="24"/>
  <c r="K233" i="24" s="1"/>
  <c r="E36" i="25" s="1"/>
  <c r="G231" i="24"/>
  <c r="I231" i="24"/>
  <c r="I232" i="24" s="1"/>
  <c r="M231" i="24"/>
  <c r="M232" i="24" s="1"/>
  <c r="M233" i="24" s="1"/>
  <c r="E34" i="25" s="1"/>
  <c r="H214" i="24"/>
  <c r="H213" i="24"/>
  <c r="H212" i="24"/>
  <c r="H211" i="24"/>
  <c r="H210" i="24"/>
  <c r="H209" i="24"/>
  <c r="H208" i="24"/>
  <c r="H207" i="24"/>
  <c r="H239" i="24"/>
  <c r="H266" i="24" s="1"/>
  <c r="H267" i="24" s="1"/>
  <c r="H268" i="24" s="1"/>
  <c r="F35" i="25" s="1"/>
  <c r="H206" i="24"/>
  <c r="G147" i="24"/>
  <c r="G146" i="24"/>
  <c r="G145" i="24"/>
  <c r="G144" i="24"/>
  <c r="G143" i="24"/>
  <c r="G142" i="24"/>
  <c r="G141" i="24"/>
  <c r="G140" i="24"/>
  <c r="G139" i="24"/>
  <c r="G138" i="24"/>
  <c r="K198" i="24"/>
  <c r="K199" i="24" s="1"/>
  <c r="G197" i="24"/>
  <c r="G198" i="24" s="1"/>
  <c r="G199" i="24" s="1"/>
  <c r="I197" i="24"/>
  <c r="I198" i="24" s="1"/>
  <c r="M197" i="24"/>
  <c r="H181" i="24"/>
  <c r="H180" i="24"/>
  <c r="H179" i="24"/>
  <c r="H178" i="24"/>
  <c r="H177" i="24"/>
  <c r="H176" i="24"/>
  <c r="H174" i="24"/>
  <c r="H173" i="24"/>
  <c r="H175" i="24"/>
  <c r="H172" i="24"/>
  <c r="I165" i="24"/>
  <c r="I166" i="24" s="1"/>
  <c r="F164" i="24"/>
  <c r="H164" i="24"/>
  <c r="H165" i="24" s="1"/>
  <c r="H166" i="24" s="1"/>
  <c r="C37" i="25" s="1"/>
  <c r="K164" i="24"/>
  <c r="K165" i="24" s="1"/>
  <c r="K166" i="24" s="1"/>
  <c r="C34" i="25" s="1"/>
  <c r="D75" i="25" l="1"/>
  <c r="C87" i="1"/>
  <c r="C25" i="1"/>
  <c r="H231" i="24"/>
  <c r="H232" i="24" s="1"/>
  <c r="H233" i="24" s="1"/>
  <c r="E35" i="25" s="1"/>
  <c r="D70" i="25"/>
  <c r="C81" i="1"/>
  <c r="G73" i="29"/>
  <c r="F108" i="29"/>
  <c r="E108" i="29"/>
  <c r="F52" i="25"/>
  <c r="C224" i="1" s="1"/>
  <c r="G232" i="24"/>
  <c r="G233" i="24" s="1"/>
  <c r="E33" i="25" s="1"/>
  <c r="C210" i="1"/>
  <c r="F85" i="25"/>
  <c r="E85" i="25"/>
  <c r="C36" i="25"/>
  <c r="D36" i="25"/>
  <c r="D69" i="25"/>
  <c r="C80" i="1"/>
  <c r="D68" i="25"/>
  <c r="C78" i="1"/>
  <c r="I233" i="24"/>
  <c r="E37" i="25" s="1"/>
  <c r="D33" i="25"/>
  <c r="C72" i="25"/>
  <c r="C95" i="1"/>
  <c r="D72" i="25"/>
  <c r="C77" i="1"/>
  <c r="D67" i="25"/>
  <c r="C93" i="1"/>
  <c r="D73" i="25"/>
  <c r="C82" i="1"/>
  <c r="D71" i="25"/>
  <c r="F40" i="35"/>
  <c r="E40" i="35"/>
  <c r="G40" i="35"/>
  <c r="G7" i="35"/>
  <c r="D40" i="35"/>
  <c r="G7" i="34"/>
  <c r="D40" i="34"/>
  <c r="G107" i="33"/>
  <c r="D141" i="33"/>
  <c r="G7" i="33"/>
  <c r="D40" i="33"/>
  <c r="G7" i="32"/>
  <c r="D40" i="32"/>
  <c r="G75" i="31"/>
  <c r="D100" i="31"/>
  <c r="E100" i="31"/>
  <c r="G144" i="31"/>
  <c r="D178" i="31"/>
  <c r="E42" i="31"/>
  <c r="G8" i="31"/>
  <c r="G210" i="31"/>
  <c r="D244" i="31"/>
  <c r="G143" i="29"/>
  <c r="E178" i="29"/>
  <c r="F178" i="29"/>
  <c r="G7" i="29"/>
  <c r="D46" i="29"/>
  <c r="E46" i="29"/>
  <c r="I199" i="24"/>
  <c r="M198" i="24"/>
  <c r="M199" i="24" s="1"/>
  <c r="G164" i="24"/>
  <c r="G165" i="24" s="1"/>
  <c r="G166" i="24" s="1"/>
  <c r="C35" i="25" s="1"/>
  <c r="H197" i="24"/>
  <c r="H198" i="24" s="1"/>
  <c r="H199" i="24" s="1"/>
  <c r="F165" i="24"/>
  <c r="F166" i="24" s="1"/>
  <c r="C33" i="25" s="1"/>
  <c r="E52" i="25" l="1"/>
  <c r="C161" i="1" s="1"/>
  <c r="E109" i="29"/>
  <c r="F109" i="29"/>
  <c r="G74" i="29"/>
  <c r="C85" i="25"/>
  <c r="D37" i="25"/>
  <c r="D85" i="25"/>
  <c r="D35" i="25"/>
  <c r="M200" i="24"/>
  <c r="D34" i="25"/>
  <c r="F41" i="35"/>
  <c r="D41" i="35"/>
  <c r="E41" i="35"/>
  <c r="G8" i="35"/>
  <c r="G41" i="35"/>
  <c r="G8" i="34"/>
  <c r="D41" i="34"/>
  <c r="G8" i="33"/>
  <c r="D41" i="33"/>
  <c r="G108" i="33"/>
  <c r="D142" i="33"/>
  <c r="G8" i="32"/>
  <c r="D41" i="32"/>
  <c r="G145" i="31"/>
  <c r="D179" i="31"/>
  <c r="G211" i="31"/>
  <c r="D245" i="31"/>
  <c r="E43" i="31"/>
  <c r="G9" i="31"/>
  <c r="D101" i="31"/>
  <c r="E101" i="31"/>
  <c r="D47" i="29"/>
  <c r="E47" i="29"/>
  <c r="G8" i="29"/>
  <c r="G144" i="29"/>
  <c r="F179" i="29"/>
  <c r="E179" i="29"/>
  <c r="G34" i="24"/>
  <c r="G35" i="24" s="1"/>
  <c r="G64" i="24"/>
  <c r="G65" i="24" s="1"/>
  <c r="F110" i="29" l="1"/>
  <c r="E110" i="29"/>
  <c r="G75" i="29"/>
  <c r="G96" i="29" s="1"/>
  <c r="D52" i="25"/>
  <c r="C52" i="25"/>
  <c r="C10" i="1" s="1"/>
  <c r="G9" i="35"/>
  <c r="D42" i="35"/>
  <c r="E42" i="35"/>
  <c r="G42" i="35"/>
  <c r="F42" i="35"/>
  <c r="G9" i="34"/>
  <c r="D42" i="34"/>
  <c r="D143" i="33"/>
  <c r="G109" i="33"/>
  <c r="G9" i="33"/>
  <c r="D42" i="33"/>
  <c r="G9" i="32"/>
  <c r="D42" i="32"/>
  <c r="E44" i="31"/>
  <c r="G10" i="31"/>
  <c r="G146" i="31"/>
  <c r="D180" i="31"/>
  <c r="G212" i="31"/>
  <c r="D246" i="31"/>
  <c r="G145" i="29"/>
  <c r="G146" i="29" s="1"/>
  <c r="G147" i="29" s="1"/>
  <c r="G148" i="29" s="1"/>
  <c r="G149" i="29" s="1"/>
  <c r="G150" i="29" s="1"/>
  <c r="G151" i="29" s="1"/>
  <c r="G152" i="29" s="1"/>
  <c r="G153" i="29" s="1"/>
  <c r="G154" i="29" s="1"/>
  <c r="G155" i="29" s="1"/>
  <c r="G156" i="29" s="1"/>
  <c r="G157" i="29" s="1"/>
  <c r="G158" i="29" s="1"/>
  <c r="G159" i="29" s="1"/>
  <c r="G160" i="29" s="1"/>
  <c r="G161" i="29" s="1"/>
  <c r="G162" i="29" s="1"/>
  <c r="G163" i="29" s="1"/>
  <c r="E180" i="29"/>
  <c r="F180" i="29"/>
  <c r="G9" i="29"/>
  <c r="E48" i="29"/>
  <c r="D48" i="29"/>
  <c r="G36" i="24"/>
  <c r="C7" i="25" s="1"/>
  <c r="G66" i="24"/>
  <c r="D7" i="25" s="1"/>
  <c r="F111" i="29" l="1"/>
  <c r="E111" i="29"/>
  <c r="G165" i="29"/>
  <c r="F43" i="35"/>
  <c r="D43" i="35"/>
  <c r="G10" i="35"/>
  <c r="G43" i="35"/>
  <c r="E43" i="35"/>
  <c r="G10" i="34"/>
  <c r="D43" i="34"/>
  <c r="G10" i="33"/>
  <c r="D43" i="33"/>
  <c r="G110" i="33"/>
  <c r="D144" i="33"/>
  <c r="G10" i="32"/>
  <c r="D43" i="32"/>
  <c r="G147" i="31"/>
  <c r="D181" i="31"/>
  <c r="G213" i="31"/>
  <c r="D247" i="31"/>
  <c r="G11" i="31"/>
  <c r="E45" i="31"/>
  <c r="G10" i="29"/>
  <c r="D49" i="29"/>
  <c r="E49" i="29"/>
  <c r="G90" i="24"/>
  <c r="G126" i="24"/>
  <c r="H126" i="24"/>
  <c r="H90" i="24"/>
  <c r="E44" i="35" l="1"/>
  <c r="G44" i="35"/>
  <c r="G11" i="35"/>
  <c r="D44" i="35"/>
  <c r="F44" i="35"/>
  <c r="G11" i="34"/>
  <c r="D44" i="34"/>
  <c r="G11" i="33"/>
  <c r="D44" i="33"/>
  <c r="G111" i="33"/>
  <c r="D145" i="33"/>
  <c r="G11" i="32"/>
  <c r="D44" i="32"/>
  <c r="E46" i="31"/>
  <c r="G12" i="31"/>
  <c r="E47" i="31" s="1"/>
  <c r="G214" i="31"/>
  <c r="D248" i="31"/>
  <c r="D182" i="31"/>
  <c r="G164" i="31"/>
  <c r="D50" i="29"/>
  <c r="E50" i="29"/>
  <c r="G11" i="29"/>
  <c r="G91" i="24"/>
  <c r="G92" i="24" s="1"/>
  <c r="E7" i="25" s="1"/>
  <c r="H127" i="24"/>
  <c r="H128" i="24" s="1"/>
  <c r="F8" i="25" s="1"/>
  <c r="G127" i="24"/>
  <c r="G128" i="24" s="1"/>
  <c r="F7" i="25" s="1"/>
  <c r="H91" i="24"/>
  <c r="H92" i="24" s="1"/>
  <c r="E8" i="25" s="1"/>
  <c r="B5" i="4"/>
  <c r="D16" i="4"/>
  <c r="J16" i="4" s="1"/>
  <c r="B14" i="4"/>
  <c r="Q16" i="4" l="1"/>
  <c r="H57" i="4" s="1"/>
  <c r="D45" i="35"/>
  <c r="E45" i="35"/>
  <c r="G12" i="35"/>
  <c r="F45" i="35"/>
  <c r="G45" i="35"/>
  <c r="G12" i="34"/>
  <c r="D45" i="34"/>
  <c r="G112" i="33"/>
  <c r="D146" i="33"/>
  <c r="G12" i="33"/>
  <c r="D45" i="33"/>
  <c r="G12" i="32"/>
  <c r="D45" i="32"/>
  <c r="G215" i="31"/>
  <c r="D250" i="31" s="1"/>
  <c r="D249" i="31"/>
  <c r="E51" i="29"/>
  <c r="G12" i="29"/>
  <c r="D51" i="29"/>
  <c r="H68" i="2"/>
  <c r="D68" i="2"/>
  <c r="H67" i="2"/>
  <c r="D67" i="2"/>
  <c r="B13" i="4"/>
  <c r="B12" i="4"/>
  <c r="B11" i="4"/>
  <c r="B10" i="4"/>
  <c r="B9" i="4"/>
  <c r="B7" i="4"/>
  <c r="B6" i="4"/>
  <c r="K21" i="3"/>
  <c r="K22" i="3"/>
  <c r="K23" i="3"/>
  <c r="K24" i="3"/>
  <c r="K25" i="3"/>
  <c r="I59" i="3" s="1"/>
  <c r="I62" i="3" s="1"/>
  <c r="C216" i="1" s="1"/>
  <c r="K26" i="3"/>
  <c r="G60" i="3" s="1"/>
  <c r="K16" i="3"/>
  <c r="K12" i="3"/>
  <c r="K13" i="3"/>
  <c r="K14" i="3"/>
  <c r="G47" i="3" s="1"/>
  <c r="K15" i="3"/>
  <c r="I48" i="3" s="1"/>
  <c r="K5" i="3"/>
  <c r="K6" i="3"/>
  <c r="K8" i="3"/>
  <c r="K9" i="3"/>
  <c r="K4" i="3"/>
  <c r="F126" i="24"/>
  <c r="E126" i="24"/>
  <c r="D126" i="24"/>
  <c r="C126" i="24"/>
  <c r="F90" i="24"/>
  <c r="E90" i="24"/>
  <c r="D90" i="24"/>
  <c r="C90" i="24"/>
  <c r="F64" i="24"/>
  <c r="E64" i="24"/>
  <c r="D64" i="24"/>
  <c r="C64" i="24"/>
  <c r="F34" i="24"/>
  <c r="E34" i="24"/>
  <c r="D34" i="24"/>
  <c r="C34" i="24"/>
  <c r="C41" i="3" l="1"/>
  <c r="E41" i="3"/>
  <c r="I39" i="3"/>
  <c r="G39" i="3"/>
  <c r="C39" i="3"/>
  <c r="E39" i="3"/>
  <c r="E55" i="3"/>
  <c r="C55" i="3"/>
  <c r="C37" i="3"/>
  <c r="G37" i="3"/>
  <c r="I37" i="3"/>
  <c r="E37" i="3"/>
  <c r="I38" i="3"/>
  <c r="G38" i="3"/>
  <c r="E38" i="3"/>
  <c r="C38" i="3"/>
  <c r="G45" i="3"/>
  <c r="G46" i="3"/>
  <c r="E58" i="3"/>
  <c r="C58" i="3"/>
  <c r="E42" i="3"/>
  <c r="C42" i="3"/>
  <c r="G56" i="3"/>
  <c r="G62" i="3" s="1"/>
  <c r="C152" i="1" s="1"/>
  <c r="G232" i="31"/>
  <c r="F46" i="35"/>
  <c r="G13" i="35"/>
  <c r="D46" i="35"/>
  <c r="G46" i="35"/>
  <c r="E46" i="35"/>
  <c r="G13" i="34"/>
  <c r="D46" i="34"/>
  <c r="D46" i="33"/>
  <c r="G13" i="33"/>
  <c r="G113" i="33"/>
  <c r="D147" i="33"/>
  <c r="G13" i="32"/>
  <c r="D46" i="32"/>
  <c r="D52" i="29"/>
  <c r="E52" i="29"/>
  <c r="G29" i="29"/>
  <c r="F35" i="24"/>
  <c r="F36" i="24" s="1"/>
  <c r="C5" i="25" s="1"/>
  <c r="F127" i="24"/>
  <c r="F128" i="24" s="1"/>
  <c r="F5" i="25" s="1"/>
  <c r="C35" i="24"/>
  <c r="C36" i="24" s="1"/>
  <c r="C65" i="24"/>
  <c r="C66" i="24" s="1"/>
  <c r="D3" i="25" s="1"/>
  <c r="F91" i="24"/>
  <c r="F92" i="24" s="1"/>
  <c r="E5" i="25" s="1"/>
  <c r="C127" i="24"/>
  <c r="C128" i="24" s="1"/>
  <c r="F3" i="25" s="1"/>
  <c r="E91" i="24"/>
  <c r="E92" i="24" s="1"/>
  <c r="E6" i="25" s="1"/>
  <c r="D35" i="24"/>
  <c r="D36" i="24" s="1"/>
  <c r="C4" i="25" s="1"/>
  <c r="F65" i="24"/>
  <c r="F66" i="24" s="1"/>
  <c r="D5" i="25" s="1"/>
  <c r="D127" i="24"/>
  <c r="D128" i="24" s="1"/>
  <c r="F4" i="25" s="1"/>
  <c r="D91" i="24"/>
  <c r="D92" i="24" s="1"/>
  <c r="E4" i="25" s="1"/>
  <c r="D65" i="24"/>
  <c r="D66" i="24" s="1"/>
  <c r="D4" i="25" s="1"/>
  <c r="E65" i="24"/>
  <c r="E66" i="24" s="1"/>
  <c r="D6" i="25" s="1"/>
  <c r="E35" i="24"/>
  <c r="E36" i="24" s="1"/>
  <c r="C6" i="25" s="1"/>
  <c r="C91" i="24"/>
  <c r="C92" i="24" s="1"/>
  <c r="E3" i="25" s="1"/>
  <c r="E127" i="24"/>
  <c r="E128" i="24" s="1"/>
  <c r="F6" i="25" s="1"/>
  <c r="F68" i="2"/>
  <c r="L68" i="2" s="1"/>
  <c r="B15" i="4" s="1"/>
  <c r="F67" i="2"/>
  <c r="L67" i="2" s="1"/>
  <c r="C53" i="3" l="1"/>
  <c r="C18" i="1" s="1"/>
  <c r="E53" i="3"/>
  <c r="C86" i="1" s="1"/>
  <c r="C62" i="3"/>
  <c r="C17" i="1" s="1"/>
  <c r="I53" i="3"/>
  <c r="C217" i="1" s="1"/>
  <c r="E62" i="3"/>
  <c r="C85" i="1" s="1"/>
  <c r="G53" i="3"/>
  <c r="C153" i="1" s="1"/>
  <c r="F18" i="5"/>
  <c r="H18" i="5" s="1"/>
  <c r="E49" i="5" s="1"/>
  <c r="B14" i="6"/>
  <c r="B14" i="5"/>
  <c r="B15" i="6"/>
  <c r="B15" i="5"/>
  <c r="C3" i="25"/>
  <c r="C22" i="25" s="1"/>
  <c r="C14" i="1" s="1"/>
  <c r="I36" i="24"/>
  <c r="G14" i="35"/>
  <c r="E47" i="35"/>
  <c r="F47" i="35"/>
  <c r="D47" i="35"/>
  <c r="G47" i="35"/>
  <c r="G14" i="34"/>
  <c r="D47" i="34"/>
  <c r="G114" i="33"/>
  <c r="D148" i="33"/>
  <c r="G14" i="33"/>
  <c r="D47" i="33"/>
  <c r="G14" i="32"/>
  <c r="D47" i="32"/>
  <c r="D22" i="25"/>
  <c r="C83" i="1" s="1"/>
  <c r="E22" i="25"/>
  <c r="C149" i="1" s="1"/>
  <c r="F22" i="25"/>
  <c r="C213" i="1" s="1"/>
  <c r="C57" i="9"/>
  <c r="K45" i="9"/>
  <c r="K40" i="9"/>
  <c r="K39" i="9"/>
  <c r="B28" i="9"/>
  <c r="B29" i="9"/>
  <c r="F18" i="6" l="1"/>
  <c r="D18" i="6"/>
  <c r="G15" i="35"/>
  <c r="D48" i="35"/>
  <c r="G48" i="35"/>
  <c r="E48" i="35"/>
  <c r="F48" i="35"/>
  <c r="G15" i="34"/>
  <c r="D48" i="34"/>
  <c r="G15" i="33"/>
  <c r="D48" i="33"/>
  <c r="G115" i="33"/>
  <c r="D149" i="33"/>
  <c r="G15" i="32"/>
  <c r="D48" i="32"/>
  <c r="K114" i="9"/>
  <c r="K112" i="9"/>
  <c r="K111" i="9"/>
  <c r="K108" i="9"/>
  <c r="K107" i="9"/>
  <c r="K106" i="9"/>
  <c r="K105" i="9"/>
  <c r="K102" i="9"/>
  <c r="K101" i="9"/>
  <c r="K100" i="9"/>
  <c r="K99" i="9"/>
  <c r="G18" i="6" l="1"/>
  <c r="E51" i="6" s="1"/>
  <c r="F49" i="35"/>
  <c r="E49" i="35"/>
  <c r="G16" i="35"/>
  <c r="G49" i="35"/>
  <c r="D49" i="35"/>
  <c r="G16" i="34"/>
  <c r="D49" i="34"/>
  <c r="G116" i="33"/>
  <c r="D150" i="33"/>
  <c r="G16" i="33"/>
  <c r="D49" i="33"/>
  <c r="G16" i="32"/>
  <c r="D49" i="32"/>
  <c r="F50" i="35" l="1"/>
  <c r="G50" i="35"/>
  <c r="G17" i="35"/>
  <c r="D50" i="35"/>
  <c r="E50" i="35"/>
  <c r="G17" i="34"/>
  <c r="D50" i="34"/>
  <c r="G17" i="33"/>
  <c r="D50" i="33"/>
  <c r="G117" i="33"/>
  <c r="D151" i="33"/>
  <c r="G17" i="32"/>
  <c r="D50" i="32"/>
  <c r="D51" i="35" l="1"/>
  <c r="G18" i="35"/>
  <c r="E51" i="35"/>
  <c r="G51" i="35"/>
  <c r="F51" i="35"/>
  <c r="D51" i="34"/>
  <c r="G18" i="34"/>
  <c r="G118" i="33"/>
  <c r="D152" i="33"/>
  <c r="G18" i="33"/>
  <c r="D51" i="33"/>
  <c r="G18" i="32"/>
  <c r="D51" i="32"/>
  <c r="F52" i="35" l="1"/>
  <c r="G52" i="35"/>
  <c r="D52" i="35"/>
  <c r="G19" i="35"/>
  <c r="E52" i="35"/>
  <c r="D52" i="34"/>
  <c r="G19" i="34"/>
  <c r="G119" i="33"/>
  <c r="D153" i="33"/>
  <c r="G19" i="33"/>
  <c r="D52" i="33"/>
  <c r="G19" i="32"/>
  <c r="D52" i="32"/>
  <c r="E17" i="7"/>
  <c r="E51" i="7" s="1"/>
  <c r="E16" i="7"/>
  <c r="E48" i="7" s="1"/>
  <c r="E15" i="7"/>
  <c r="D47" i="7" s="1"/>
  <c r="E14" i="7"/>
  <c r="D46" i="7" s="1"/>
  <c r="E13" i="7"/>
  <c r="D45" i="7" s="1"/>
  <c r="E12" i="7"/>
  <c r="D44" i="7" s="1"/>
  <c r="E11" i="7"/>
  <c r="C43" i="7" s="1"/>
  <c r="E10" i="7"/>
  <c r="B42" i="7" s="1"/>
  <c r="E9" i="7"/>
  <c r="C41" i="7" s="1"/>
  <c r="E8" i="7"/>
  <c r="B40" i="7" s="1"/>
  <c r="E7" i="7"/>
  <c r="B39" i="7" s="1"/>
  <c r="E6" i="7"/>
  <c r="C38" i="7" s="1"/>
  <c r="E5" i="7"/>
  <c r="D37" i="7" s="1"/>
  <c r="D18" i="4"/>
  <c r="D17" i="4"/>
  <c r="J17" i="4" s="1"/>
  <c r="D15" i="4"/>
  <c r="J15" i="4" s="1"/>
  <c r="D14" i="4"/>
  <c r="J14" i="4" s="1"/>
  <c r="D13" i="4"/>
  <c r="J13" i="4" s="1"/>
  <c r="P13" i="4" s="1"/>
  <c r="F54" i="4" s="1"/>
  <c r="D10" i="4"/>
  <c r="J10" i="4" s="1"/>
  <c r="D9" i="4"/>
  <c r="J9" i="4" s="1"/>
  <c r="D7" i="4"/>
  <c r="J7" i="4" s="1"/>
  <c r="D6" i="4"/>
  <c r="J6" i="4" s="1"/>
  <c r="P6" i="4" s="1"/>
  <c r="D5" i="4"/>
  <c r="J5" i="4" s="1"/>
  <c r="F19" i="5"/>
  <c r="F20" i="5"/>
  <c r="O10" i="4" l="1"/>
  <c r="N10" i="4"/>
  <c r="O9" i="4"/>
  <c r="D50" i="4" s="1"/>
  <c r="N9" i="4"/>
  <c r="B50" i="4" s="1"/>
  <c r="J18" i="4"/>
  <c r="Q18" i="4" s="1"/>
  <c r="H59" i="4" s="1"/>
  <c r="Q6" i="4"/>
  <c r="H46" i="4" s="1"/>
  <c r="F46" i="4"/>
  <c r="O6" i="4"/>
  <c r="D46" i="4" s="1"/>
  <c r="N6" i="4"/>
  <c r="B46" i="4" s="1"/>
  <c r="O7" i="4"/>
  <c r="D47" i="4" s="1"/>
  <c r="Q7" i="4"/>
  <c r="H47" i="4" s="1"/>
  <c r="N7" i="4"/>
  <c r="B47" i="4" s="1"/>
  <c r="P7" i="4"/>
  <c r="F47" i="4" s="1"/>
  <c r="D51" i="4"/>
  <c r="B51" i="4"/>
  <c r="Q5" i="4"/>
  <c r="H45" i="4" s="1"/>
  <c r="P5" i="4"/>
  <c r="F45" i="4" s="1"/>
  <c r="O5" i="4"/>
  <c r="N5" i="4"/>
  <c r="H60" i="4"/>
  <c r="J19" i="4"/>
  <c r="Q19" i="4" s="1"/>
  <c r="P14" i="4"/>
  <c r="F55" i="4" s="1"/>
  <c r="P15" i="4"/>
  <c r="F56" i="4" s="1"/>
  <c r="Q17" i="4"/>
  <c r="H58" i="4" s="1"/>
  <c r="E53" i="35"/>
  <c r="G53" i="35"/>
  <c r="G20" i="35"/>
  <c r="D53" i="35"/>
  <c r="F53" i="35"/>
  <c r="G20" i="34"/>
  <c r="D53" i="34"/>
  <c r="G20" i="33"/>
  <c r="D53" i="33"/>
  <c r="G120" i="33"/>
  <c r="D154" i="33"/>
  <c r="G20" i="32"/>
  <c r="D53" i="32"/>
  <c r="C37" i="7"/>
  <c r="C40" i="7"/>
  <c r="E37" i="7"/>
  <c r="D39" i="7"/>
  <c r="E39" i="7"/>
  <c r="B41" i="7"/>
  <c r="E21" i="7"/>
  <c r="D38" i="7"/>
  <c r="C42" i="7"/>
  <c r="B37" i="7"/>
  <c r="C39" i="7"/>
  <c r="B43" i="7"/>
  <c r="E38" i="7"/>
  <c r="B38" i="7"/>
  <c r="D8" i="4"/>
  <c r="D28" i="4" s="1"/>
  <c r="D30" i="4" s="1"/>
  <c r="J30" i="4" s="1"/>
  <c r="H62" i="4" l="1"/>
  <c r="C215" i="1" s="1"/>
  <c r="F62" i="4"/>
  <c r="C151" i="1" s="1"/>
  <c r="B45" i="4"/>
  <c r="D45" i="4"/>
  <c r="O30" i="4"/>
  <c r="Q30" i="4"/>
  <c r="P30" i="4"/>
  <c r="G21" i="35"/>
  <c r="D54" i="35"/>
  <c r="E54" i="35"/>
  <c r="F54" i="35"/>
  <c r="G54" i="35"/>
  <c r="G21" i="34"/>
  <c r="D54" i="34"/>
  <c r="G121" i="33"/>
  <c r="D155" i="33"/>
  <c r="G21" i="33"/>
  <c r="D54" i="33"/>
  <c r="G21" i="32"/>
  <c r="D54" i="32"/>
  <c r="E55" i="7"/>
  <c r="C218" i="1" s="1"/>
  <c r="D55" i="7"/>
  <c r="C155" i="1" s="1"/>
  <c r="C55" i="7"/>
  <c r="C90" i="1" s="1"/>
  <c r="B55" i="7"/>
  <c r="C20" i="1" s="1"/>
  <c r="D49" i="4"/>
  <c r="B49" i="4"/>
  <c r="D62" i="4" l="1"/>
  <c r="C84" i="1" s="1"/>
  <c r="B62" i="4"/>
  <c r="C16" i="1" s="1"/>
  <c r="S30" i="4"/>
  <c r="F55" i="35"/>
  <c r="D55" i="35"/>
  <c r="G22" i="35"/>
  <c r="G55" i="35"/>
  <c r="E55" i="35"/>
  <c r="G22" i="34"/>
  <c r="D55" i="34"/>
  <c r="G22" i="33"/>
  <c r="D55" i="33"/>
  <c r="G122" i="33"/>
  <c r="D156" i="33"/>
  <c r="G22" i="32"/>
  <c r="D55" i="32"/>
  <c r="E56" i="35" l="1"/>
  <c r="F56" i="35"/>
  <c r="G23" i="35"/>
  <c r="D56" i="35"/>
  <c r="G56" i="35"/>
  <c r="G23" i="34"/>
  <c r="D56" i="34"/>
  <c r="G123" i="33"/>
  <c r="D157" i="33"/>
  <c r="G23" i="33"/>
  <c r="D56" i="33"/>
  <c r="G23" i="32"/>
  <c r="D56" i="32"/>
  <c r="B6" i="5"/>
  <c r="F6" i="5" s="1"/>
  <c r="B5" i="5"/>
  <c r="H19" i="5"/>
  <c r="H20" i="5"/>
  <c r="F15" i="5"/>
  <c r="H5" i="5"/>
  <c r="D15" i="6"/>
  <c r="D57" i="35" l="1"/>
  <c r="G57" i="35"/>
  <c r="E57" i="35"/>
  <c r="G24" i="35"/>
  <c r="F57" i="35"/>
  <c r="D57" i="34"/>
  <c r="G24" i="34"/>
  <c r="G24" i="33"/>
  <c r="D57" i="33"/>
  <c r="G124" i="33"/>
  <c r="D158" i="33"/>
  <c r="G24" i="32"/>
  <c r="D57" i="32"/>
  <c r="H6" i="5"/>
  <c r="C37" i="5" s="1"/>
  <c r="H15" i="5"/>
  <c r="D46" i="5" s="1"/>
  <c r="E36" i="5"/>
  <c r="D36" i="5"/>
  <c r="C36" i="5"/>
  <c r="B51" i="5"/>
  <c r="D51" i="5"/>
  <c r="C51" i="5"/>
  <c r="B36" i="5"/>
  <c r="B50" i="5"/>
  <c r="D50" i="5"/>
  <c r="C50" i="5"/>
  <c r="F15" i="6"/>
  <c r="G15" i="6" s="1"/>
  <c r="D48" i="6" s="1"/>
  <c r="C5" i="12"/>
  <c r="F58" i="35" l="1"/>
  <c r="E58" i="35"/>
  <c r="G58" i="35"/>
  <c r="G25" i="35"/>
  <c r="D58" i="35"/>
  <c r="G25" i="34"/>
  <c r="D58" i="34"/>
  <c r="G125" i="33"/>
  <c r="D159" i="33"/>
  <c r="G25" i="33"/>
  <c r="D58" i="33"/>
  <c r="G25" i="32"/>
  <c r="D58" i="32"/>
  <c r="D37" i="5"/>
  <c r="B37" i="5"/>
  <c r="E37" i="5"/>
  <c r="F59" i="35" l="1"/>
  <c r="G59" i="35"/>
  <c r="D59" i="35"/>
  <c r="E59" i="35"/>
  <c r="G26" i="35"/>
  <c r="G26" i="34"/>
  <c r="D59" i="34"/>
  <c r="G26" i="33"/>
  <c r="D59" i="33"/>
  <c r="G126" i="33"/>
  <c r="D160" i="33"/>
  <c r="G26" i="32"/>
  <c r="D59" i="32"/>
  <c r="C141" i="15"/>
  <c r="C25" i="12" s="1"/>
  <c r="C96" i="15"/>
  <c r="C20" i="12" s="1"/>
  <c r="C54" i="15"/>
  <c r="C15" i="12" s="1"/>
  <c r="C10" i="12"/>
  <c r="C29" i="12" l="1"/>
  <c r="G27" i="35"/>
  <c r="D60" i="35"/>
  <c r="E60" i="35"/>
  <c r="G60" i="35"/>
  <c r="F60" i="35"/>
  <c r="G27" i="34"/>
  <c r="D60" i="34"/>
  <c r="D161" i="33"/>
  <c r="G127" i="33"/>
  <c r="G27" i="33"/>
  <c r="D60" i="33"/>
  <c r="G27" i="32"/>
  <c r="D60" i="32"/>
  <c r="F61" i="35" l="1"/>
  <c r="G28" i="35"/>
  <c r="G61" i="35"/>
  <c r="D61" i="35"/>
  <c r="E61" i="35"/>
  <c r="G28" i="34"/>
  <c r="D62" i="34" s="1"/>
  <c r="D61" i="34"/>
  <c r="G28" i="33"/>
  <c r="D62" i="33" s="1"/>
  <c r="D61" i="33"/>
  <c r="G128" i="33"/>
  <c r="D163" i="33" s="1"/>
  <c r="D162" i="33"/>
  <c r="G28" i="32"/>
  <c r="D62" i="32" s="1"/>
  <c r="D61" i="32"/>
  <c r="F5" i="12" l="1"/>
  <c r="E62" i="35"/>
  <c r="G62" i="35"/>
  <c r="D62" i="35"/>
  <c r="F62" i="35"/>
  <c r="K82" i="9" l="1"/>
  <c r="K81" i="9"/>
  <c r="K76" i="9"/>
  <c r="K75" i="9"/>
  <c r="K70" i="9"/>
  <c r="K69" i="9"/>
  <c r="K63" i="9"/>
  <c r="K54" i="9"/>
  <c r="K53" i="9"/>
  <c r="K52" i="9"/>
  <c r="K51" i="9"/>
  <c r="K48" i="9"/>
  <c r="K47" i="9"/>
  <c r="K46" i="9"/>
  <c r="K42" i="9"/>
  <c r="K41" i="9"/>
  <c r="K36" i="9"/>
  <c r="K35" i="9"/>
  <c r="K34" i="9"/>
  <c r="K33" i="9"/>
  <c r="K25" i="9"/>
  <c r="K24" i="9"/>
  <c r="K23" i="9"/>
  <c r="K22" i="9"/>
  <c r="K19" i="9"/>
  <c r="K18" i="9"/>
  <c r="K17" i="9"/>
  <c r="K16" i="9"/>
  <c r="K11" i="9"/>
  <c r="K10" i="9"/>
  <c r="K12" i="9"/>
  <c r="K13" i="9"/>
  <c r="K7" i="9"/>
  <c r="K5" i="9"/>
  <c r="K6" i="9"/>
  <c r="K4" i="9"/>
  <c r="K37" i="2"/>
  <c r="K36" i="2"/>
  <c r="K35" i="2"/>
  <c r="F5" i="2"/>
  <c r="F6" i="2"/>
  <c r="F7" i="2"/>
  <c r="D5" i="2"/>
  <c r="D6" i="2"/>
  <c r="D7" i="2"/>
  <c r="K116" i="9" l="1"/>
  <c r="K49" i="9"/>
  <c r="K43" i="9"/>
  <c r="K27" i="9"/>
  <c r="H66" i="2"/>
  <c r="H65" i="2"/>
  <c r="D66" i="2"/>
  <c r="D65" i="2"/>
  <c r="L65" i="2" s="1"/>
  <c r="D78" i="2"/>
  <c r="J78" i="2" l="1"/>
  <c r="O74" i="2" s="1"/>
  <c r="C144" i="1" s="1"/>
  <c r="B22" i="5"/>
  <c r="L66" i="2"/>
  <c r="K56" i="9"/>
  <c r="E58" i="9" s="1"/>
  <c r="B118" i="9"/>
  <c r="B117" i="9"/>
  <c r="B58" i="9" l="1"/>
  <c r="D125" i="9" s="1"/>
  <c r="E57" i="9"/>
  <c r="F125" i="9" s="1"/>
  <c r="C166" i="1" s="1"/>
  <c r="O65" i="2"/>
  <c r="B57" i="9"/>
  <c r="B125" i="9" s="1"/>
  <c r="C28" i="1" s="1"/>
  <c r="F17" i="5"/>
  <c r="H17" i="5" s="1"/>
  <c r="E48" i="5" s="1"/>
  <c r="F16" i="5"/>
  <c r="H16" i="5" s="1"/>
  <c r="E47" i="5" s="1"/>
  <c r="B13" i="6"/>
  <c r="B13" i="5"/>
  <c r="F13" i="5" s="1"/>
  <c r="H13" i="5" s="1"/>
  <c r="D44" i="5" s="1"/>
  <c r="B12" i="6"/>
  <c r="D12" i="6" s="1"/>
  <c r="H125" i="9"/>
  <c r="F14" i="5"/>
  <c r="H14" i="5" s="1"/>
  <c r="D45" i="5" s="1"/>
  <c r="H5" i="2"/>
  <c r="L5" i="2" s="1"/>
  <c r="H6" i="2"/>
  <c r="L6" i="2" s="1"/>
  <c r="H7" i="2"/>
  <c r="L7" i="2" s="1"/>
  <c r="D37" i="2"/>
  <c r="D36" i="2"/>
  <c r="D35" i="2"/>
  <c r="H4" i="2"/>
  <c r="F4" i="2"/>
  <c r="D4" i="2"/>
  <c r="C229" i="1" l="1"/>
  <c r="C233" i="1"/>
  <c r="L4" i="2"/>
  <c r="B12" i="5"/>
  <c r="F12" i="5" s="1"/>
  <c r="H12" i="5" s="1"/>
  <c r="B11" i="5"/>
  <c r="F11" i="5" s="1"/>
  <c r="H11" i="5" s="1"/>
  <c r="B10" i="5"/>
  <c r="F10" i="5" s="1"/>
  <c r="H10" i="5" s="1"/>
  <c r="F12" i="6"/>
  <c r="G12" i="6" s="1"/>
  <c r="D45" i="6" s="1"/>
  <c r="D16" i="6"/>
  <c r="F16" i="6"/>
  <c r="D17" i="6"/>
  <c r="F17" i="6"/>
  <c r="D14" i="6"/>
  <c r="F14" i="6"/>
  <c r="D13" i="6"/>
  <c r="F13" i="6"/>
  <c r="B9" i="6"/>
  <c r="F22" i="5"/>
  <c r="H22" i="5" s="1"/>
  <c r="D53" i="5" s="1"/>
  <c r="F35" i="2"/>
  <c r="H37" i="2"/>
  <c r="L37" i="2" s="1"/>
  <c r="F36" i="2"/>
  <c r="H36" i="2" s="1"/>
  <c r="B10" i="6" l="1"/>
  <c r="D10" i="6" s="1"/>
  <c r="B11" i="6"/>
  <c r="F11" i="6" s="1"/>
  <c r="Q36" i="2"/>
  <c r="P36" i="2"/>
  <c r="O36" i="2"/>
  <c r="N36" i="2"/>
  <c r="L9" i="2"/>
  <c r="G17" i="6"/>
  <c r="E50" i="6" s="1"/>
  <c r="G16" i="6"/>
  <c r="G13" i="6"/>
  <c r="D46" i="6" s="1"/>
  <c r="G14" i="6"/>
  <c r="D47" i="6" s="1"/>
  <c r="D54" i="5"/>
  <c r="C156" i="1" s="1"/>
  <c r="D9" i="6"/>
  <c r="F9" i="6"/>
  <c r="B42" i="5"/>
  <c r="C42" i="5"/>
  <c r="D11" i="6"/>
  <c r="C40" i="5"/>
  <c r="B40" i="5"/>
  <c r="F10" i="6"/>
  <c r="B9" i="5"/>
  <c r="F9" i="5" s="1"/>
  <c r="H9" i="5" s="1"/>
  <c r="B8" i="6"/>
  <c r="C41" i="5"/>
  <c r="B41" i="5"/>
  <c r="L35" i="2"/>
  <c r="O9" i="2" l="1"/>
  <c r="O12" i="2" s="1"/>
  <c r="N9" i="2"/>
  <c r="N12" i="2" s="1"/>
  <c r="P34" i="2"/>
  <c r="O34" i="2"/>
  <c r="N34" i="2"/>
  <c r="Q34" i="2"/>
  <c r="G10" i="6"/>
  <c r="B43" i="6" s="1"/>
  <c r="G11" i="6"/>
  <c r="C44" i="6" s="1"/>
  <c r="G9" i="6"/>
  <c r="B42" i="6" s="1"/>
  <c r="D8" i="6"/>
  <c r="F8" i="6"/>
  <c r="B5" i="6"/>
  <c r="B39" i="5"/>
  <c r="C39" i="5"/>
  <c r="B7" i="6"/>
  <c r="B7" i="5"/>
  <c r="F7" i="5" s="1"/>
  <c r="H7" i="5" s="1"/>
  <c r="L36" i="2"/>
  <c r="P35" i="2" l="1"/>
  <c r="P37" i="2" s="1"/>
  <c r="H111" i="2" s="1"/>
  <c r="O35" i="2"/>
  <c r="O37" i="2" s="1"/>
  <c r="F111" i="2" s="1"/>
  <c r="Q35" i="2"/>
  <c r="Q37" i="2" s="1"/>
  <c r="J111" i="2" s="1"/>
  <c r="N35" i="2"/>
  <c r="N37" i="2" s="1"/>
  <c r="D111" i="2" s="1"/>
  <c r="C43" i="6"/>
  <c r="B44" i="6"/>
  <c r="C42" i="6"/>
  <c r="C38" i="5"/>
  <c r="C54" i="5" s="1"/>
  <c r="C91" i="1" s="1"/>
  <c r="B38" i="5"/>
  <c r="B54" i="5" s="1"/>
  <c r="C21" i="1" s="1"/>
  <c r="H23" i="5"/>
  <c r="E38" i="5"/>
  <c r="E54" i="5" s="1"/>
  <c r="C219" i="1" s="1"/>
  <c r="D5" i="6"/>
  <c r="F5" i="6"/>
  <c r="D7" i="6"/>
  <c r="F7" i="6"/>
  <c r="B6" i="6"/>
  <c r="G8" i="6"/>
  <c r="N110" i="2" l="1"/>
  <c r="C6" i="1"/>
  <c r="C75" i="1"/>
  <c r="O110" i="2"/>
  <c r="P110" i="2"/>
  <c r="C143" i="1"/>
  <c r="Q110" i="2"/>
  <c r="C208" i="1"/>
  <c r="G7" i="6"/>
  <c r="B40" i="6" s="1"/>
  <c r="G5" i="6"/>
  <c r="B41" i="6"/>
  <c r="C41" i="6"/>
  <c r="D6" i="6"/>
  <c r="F6" i="6"/>
  <c r="B19" i="6" l="1"/>
  <c r="D19" i="6" s="1"/>
  <c r="D40" i="6"/>
  <c r="C40" i="6"/>
  <c r="E40" i="6"/>
  <c r="G6" i="6"/>
  <c r="B38" i="6"/>
  <c r="C38" i="6"/>
  <c r="E38" i="6"/>
  <c r="D38" i="6"/>
  <c r="F19" i="6" l="1"/>
  <c r="F20" i="6" s="1"/>
  <c r="D20" i="6"/>
  <c r="B39" i="6"/>
  <c r="B53" i="6" s="1"/>
  <c r="C15" i="1" s="1"/>
  <c r="C32" i="1" s="1"/>
  <c r="D10" i="12" s="1"/>
  <c r="F10" i="12" s="1"/>
  <c r="E39" i="6"/>
  <c r="C39" i="6"/>
  <c r="C53" i="6" s="1"/>
  <c r="C89" i="1" s="1"/>
  <c r="C100" i="1" s="1"/>
  <c r="D15" i="12" s="1"/>
  <c r="F15" i="12" s="1"/>
  <c r="D39" i="6"/>
  <c r="G19" i="6" l="1"/>
  <c r="G21" i="6" s="1"/>
  <c r="E49" i="6" l="1"/>
  <c r="D52" i="6"/>
  <c r="D53" i="6" s="1"/>
  <c r="C150" i="1" s="1"/>
  <c r="C171" i="1" s="1"/>
  <c r="D20" i="12" s="1"/>
  <c r="F20" i="12" s="1"/>
  <c r="E52" i="6"/>
  <c r="E53" i="6" l="1"/>
  <c r="C214" i="1" s="1"/>
  <c r="C235" i="1" s="1"/>
  <c r="D25" i="12" s="1"/>
  <c r="F25" i="12" l="1"/>
  <c r="D29" i="12"/>
  <c r="F29" i="12" s="1"/>
  <c r="F70" i="1" l="1"/>
</calcChain>
</file>

<file path=xl/sharedStrings.xml><?xml version="1.0" encoding="utf-8"?>
<sst xmlns="http://schemas.openxmlformats.org/spreadsheetml/2006/main" count="2830" uniqueCount="627">
  <si>
    <t xml:space="preserve">                                                           </t>
  </si>
  <si>
    <t>Annual</t>
  </si>
  <si>
    <t>Longevity</t>
  </si>
  <si>
    <t>Step</t>
  </si>
  <si>
    <t>Total</t>
  </si>
  <si>
    <t>Lead Supervisor</t>
  </si>
  <si>
    <t>Field Supervisor</t>
  </si>
  <si>
    <t>Operator</t>
  </si>
  <si>
    <t>Seasonal Operator</t>
  </si>
  <si>
    <t>Water</t>
  </si>
  <si>
    <t>Sanitation</t>
  </si>
  <si>
    <t>total</t>
  </si>
  <si>
    <t>On Call</t>
  </si>
  <si>
    <t>General Manager</t>
  </si>
  <si>
    <t>Office Manager</t>
  </si>
  <si>
    <t>Secretary</t>
  </si>
  <si>
    <t>Fire</t>
  </si>
  <si>
    <t>Ambulance</t>
  </si>
  <si>
    <t xml:space="preserve"> </t>
  </si>
  <si>
    <t xml:space="preserve">ES Director </t>
  </si>
  <si>
    <t>Per Diem Fire Medic</t>
  </si>
  <si>
    <t xml:space="preserve">Per Diem EMT </t>
  </si>
  <si>
    <t>Rate</t>
  </si>
  <si>
    <t>Over Time Pay</t>
  </si>
  <si>
    <t>hr</t>
  </si>
  <si>
    <t xml:space="preserve">Hr </t>
  </si>
  <si>
    <t>D2 Cert.</t>
  </si>
  <si>
    <t>D3 Cert.</t>
  </si>
  <si>
    <t>WW1 Cert.</t>
  </si>
  <si>
    <t>WW3 Cert.</t>
  </si>
  <si>
    <t>BackFlow Course</t>
  </si>
  <si>
    <t>Hotel</t>
  </si>
  <si>
    <t>Travel</t>
  </si>
  <si>
    <t>Meals</t>
  </si>
  <si>
    <t xml:space="preserve">WW2 Cert. </t>
  </si>
  <si>
    <t>BackFlow</t>
  </si>
  <si>
    <t>Certification Costs</t>
  </si>
  <si>
    <t>Hotel Costs</t>
  </si>
  <si>
    <t>Meals Costs</t>
  </si>
  <si>
    <t>Travel Costs</t>
  </si>
  <si>
    <t>Extra Courses</t>
  </si>
  <si>
    <t>Emergency Services Director</t>
  </si>
  <si>
    <t>EMT</t>
  </si>
  <si>
    <t xml:space="preserve">         Total</t>
  </si>
  <si>
    <t xml:space="preserve">    COLA</t>
  </si>
  <si>
    <t xml:space="preserve">  Longevity</t>
  </si>
  <si>
    <t xml:space="preserve">     Over Time Pay</t>
  </si>
  <si>
    <t xml:space="preserve">        Total</t>
  </si>
  <si>
    <t xml:space="preserve">     Longevity</t>
  </si>
  <si>
    <t xml:space="preserve">    Cola</t>
  </si>
  <si>
    <t>`</t>
  </si>
  <si>
    <t>Position</t>
  </si>
  <si>
    <t>Annual Salary</t>
  </si>
  <si>
    <t>Unemployment, %</t>
  </si>
  <si>
    <t>Unemployment, Maximum</t>
  </si>
  <si>
    <t>Unemployment Total</t>
  </si>
  <si>
    <t xml:space="preserve">Fire Captain/EMT </t>
  </si>
  <si>
    <t xml:space="preserve">Firefighter/EMT </t>
  </si>
  <si>
    <t xml:space="preserve">Firefighter/Paramedic </t>
  </si>
  <si>
    <t>Totals:</t>
  </si>
  <si>
    <t>Total:</t>
  </si>
  <si>
    <t>Annual Totals:</t>
  </si>
  <si>
    <t>5 Perdiem EMT</t>
  </si>
  <si>
    <t>5 perdiem Medic</t>
  </si>
  <si>
    <t>Service Charges</t>
  </si>
  <si>
    <t>Notes</t>
  </si>
  <si>
    <t>Street Lights 100</t>
  </si>
  <si>
    <t>Total Revenue</t>
  </si>
  <si>
    <t>Water 200</t>
  </si>
  <si>
    <t>Property Taxes</t>
  </si>
  <si>
    <t>Solid Waste Franchise Fee</t>
  </si>
  <si>
    <t>Sanitation 300</t>
  </si>
  <si>
    <t>Total Expenses</t>
  </si>
  <si>
    <t>Supplies</t>
  </si>
  <si>
    <t>Repairs</t>
  </si>
  <si>
    <t>Maintenance</t>
  </si>
  <si>
    <t>Engineering</t>
  </si>
  <si>
    <t>Utilities - All</t>
  </si>
  <si>
    <t>Ambulance Expense</t>
  </si>
  <si>
    <t>Wages - Office</t>
  </si>
  <si>
    <t>Payroll Taxes</t>
  </si>
  <si>
    <t>PERS Expense</t>
  </si>
  <si>
    <t>PERS Retiree Health Benefits</t>
  </si>
  <si>
    <t>Employee Benefits</t>
  </si>
  <si>
    <t>Unemployment Taxes</t>
  </si>
  <si>
    <t>Workers Compensation Ins.</t>
  </si>
  <si>
    <t>Insurance</t>
  </si>
  <si>
    <t>Office Expense</t>
  </si>
  <si>
    <t>Grant Expenses</t>
  </si>
  <si>
    <t>Postage</t>
  </si>
  <si>
    <t>Auto Expense</t>
  </si>
  <si>
    <t>Equipment</t>
  </si>
  <si>
    <t>Legal Expense</t>
  </si>
  <si>
    <t>Professional Services</t>
  </si>
  <si>
    <t>Bad Debt</t>
  </si>
  <si>
    <t>Dues &amp; Fees</t>
  </si>
  <si>
    <t>Training &amp; Travel</t>
  </si>
  <si>
    <t>Fire Prevention Expenses</t>
  </si>
  <si>
    <t>Other Expenses</t>
  </si>
  <si>
    <r>
      <t xml:space="preserve">                           </t>
    </r>
    <r>
      <rPr>
        <b/>
        <i/>
        <sz val="11"/>
        <color theme="1"/>
        <rFont val="Calibri"/>
        <family val="2"/>
        <scheme val="minor"/>
      </rPr>
      <t>Total Expenses:</t>
    </r>
  </si>
  <si>
    <t xml:space="preserve"> Per Diem Wages</t>
  </si>
  <si>
    <t xml:space="preserve"> Street Lights 100 </t>
  </si>
  <si>
    <t xml:space="preserve">     Water 200 </t>
  </si>
  <si>
    <t xml:space="preserve">   Sanitation 300</t>
  </si>
  <si>
    <t xml:space="preserve">    Fire 400</t>
  </si>
  <si>
    <t xml:space="preserve"> Ambulance 600</t>
  </si>
  <si>
    <t xml:space="preserve">  </t>
  </si>
  <si>
    <t xml:space="preserve">         </t>
  </si>
  <si>
    <r>
      <t xml:space="preserve">                                                 </t>
    </r>
    <r>
      <rPr>
        <b/>
        <i/>
        <sz val="16"/>
        <color theme="1"/>
        <rFont val="Calibri"/>
        <family val="2"/>
        <scheme val="minor"/>
      </rPr>
      <t xml:space="preserve"> Total Revenue</t>
    </r>
  </si>
  <si>
    <r>
      <t xml:space="preserve">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Total Expenses</t>
    </r>
  </si>
  <si>
    <t xml:space="preserve">                                       </t>
  </si>
  <si>
    <t xml:space="preserve">                                          </t>
  </si>
  <si>
    <t xml:space="preserve">     </t>
  </si>
  <si>
    <r>
      <t xml:space="preserve">           </t>
    </r>
    <r>
      <rPr>
        <i/>
        <sz val="11"/>
        <color theme="1"/>
        <rFont val="Calibri"/>
        <family val="2"/>
        <scheme val="minor"/>
      </rPr>
      <t xml:space="preserve">                               </t>
    </r>
    <r>
      <rPr>
        <b/>
        <i/>
        <sz val="16"/>
        <color theme="1"/>
        <rFont val="Calibri"/>
        <family val="2"/>
        <scheme val="minor"/>
      </rPr>
      <t xml:space="preserve">       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</si>
  <si>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Total Expense </t>
  </si>
  <si>
    <t xml:space="preserve">Total Revenue </t>
  </si>
  <si>
    <r>
      <t xml:space="preserve">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Fire 400         </t>
    </r>
  </si>
  <si>
    <r>
      <t xml:space="preserve">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Ambulance 600         </t>
    </r>
  </si>
  <si>
    <r>
      <t xml:space="preserve">                           </t>
    </r>
    <r>
      <rPr>
        <b/>
        <i/>
        <sz val="11"/>
        <color theme="1"/>
        <rFont val="Calibri"/>
        <family val="2"/>
        <scheme val="minor"/>
      </rPr>
      <t>Total Revenue:</t>
    </r>
  </si>
  <si>
    <t>Electricity</t>
  </si>
  <si>
    <t>Propane</t>
  </si>
  <si>
    <t>Phone &amp; Internet</t>
  </si>
  <si>
    <t>Cell Phone</t>
  </si>
  <si>
    <t>Garbage</t>
  </si>
  <si>
    <t>Social Security, %</t>
  </si>
  <si>
    <t>Medicare, %</t>
  </si>
  <si>
    <t>Payroll Taxes Total</t>
  </si>
  <si>
    <t>10 perdiem</t>
  </si>
  <si>
    <t>Annual Total:</t>
  </si>
  <si>
    <t>Annual Allocations</t>
  </si>
  <si>
    <t>Workers Compensation</t>
  </si>
  <si>
    <t>State Fund Interim</t>
  </si>
  <si>
    <t>Employer Annual Payment</t>
  </si>
  <si>
    <t>Volunteers (4 @ $5000 ea)</t>
  </si>
  <si>
    <t>Board Members (5 @ $1000 ea)</t>
  </si>
  <si>
    <t>Employer Quarterly Payment</t>
  </si>
  <si>
    <r>
      <t xml:space="preserve">                                                                                    </t>
    </r>
    <r>
      <rPr>
        <b/>
        <i/>
        <sz val="14"/>
        <color theme="1"/>
        <rFont val="Calibri"/>
        <family val="2"/>
        <scheme val="minor"/>
      </rPr>
      <t>Annual Allocations</t>
    </r>
  </si>
  <si>
    <r>
      <t xml:space="preserve">Firefighter/Paramedic </t>
    </r>
    <r>
      <rPr>
        <b/>
        <sz val="9"/>
        <color theme="1"/>
        <rFont val="Times New Roman"/>
        <family val="1"/>
      </rPr>
      <t xml:space="preserve"> </t>
    </r>
  </si>
  <si>
    <t xml:space="preserve">Social Security Total </t>
  </si>
  <si>
    <t xml:space="preserve">Medicare Total </t>
  </si>
  <si>
    <t>Employer % Contribution</t>
  </si>
  <si>
    <t>Employer $ Contribution</t>
  </si>
  <si>
    <t>60 lassen</t>
  </si>
  <si>
    <t xml:space="preserve">                                                        </t>
  </si>
  <si>
    <r>
      <t xml:space="preserve">                          </t>
    </r>
    <r>
      <rPr>
        <b/>
        <i/>
        <sz val="14"/>
        <color theme="1"/>
        <rFont val="Calibri"/>
        <family val="2"/>
        <scheme val="minor"/>
      </rPr>
      <t xml:space="preserve">   Unemployment Taxes</t>
    </r>
  </si>
  <si>
    <t xml:space="preserve">                                                                     Annual Allocations</t>
  </si>
  <si>
    <t>Service</t>
  </si>
  <si>
    <t>Accounting</t>
  </si>
  <si>
    <t>Laboratory Testing</t>
  </si>
  <si>
    <t>Annual Audit</t>
  </si>
  <si>
    <t>Miscellanous</t>
  </si>
  <si>
    <t>Medical</t>
  </si>
  <si>
    <t>Vision</t>
  </si>
  <si>
    <t>Dental</t>
  </si>
  <si>
    <t xml:space="preserve">     Annual </t>
  </si>
  <si>
    <t xml:space="preserve">        Porac</t>
  </si>
  <si>
    <t>Benefits</t>
  </si>
  <si>
    <t>Retiree 1</t>
  </si>
  <si>
    <t>Retiree 2</t>
  </si>
  <si>
    <t>Retiree 3</t>
  </si>
  <si>
    <t>Retiree 4</t>
  </si>
  <si>
    <t>Retiree 5</t>
  </si>
  <si>
    <t>Retiree 6</t>
  </si>
  <si>
    <t>Allocation-Benefits</t>
  </si>
  <si>
    <t xml:space="preserve">   </t>
  </si>
  <si>
    <t>OT Total</t>
  </si>
  <si>
    <t xml:space="preserve">  Total</t>
  </si>
  <si>
    <t>Fire Captain/EMT  (1)</t>
  </si>
  <si>
    <t>Firefighter/EMT     (2)</t>
  </si>
  <si>
    <t>Firefighter/EMT     (3)</t>
  </si>
  <si>
    <r>
      <t xml:space="preserve">Firefighter/Paramedic </t>
    </r>
    <r>
      <rPr>
        <b/>
        <sz val="9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 xml:space="preserve">  (4)</t>
    </r>
  </si>
  <si>
    <t>Firefighter/Paramedic    (5)</t>
  </si>
  <si>
    <t>Fire EMT                 (2)</t>
  </si>
  <si>
    <t>Fire EMT                 (3)</t>
  </si>
  <si>
    <t>Fire Paramedic      (4)</t>
  </si>
  <si>
    <t>Fire Paramedic       (5)</t>
  </si>
  <si>
    <t>Fire Captain/EMT                    (1)</t>
  </si>
  <si>
    <t>Firefighter/EMT                       (2)</t>
  </si>
  <si>
    <t>Firefighter/EMT                       (3)</t>
  </si>
  <si>
    <r>
      <t xml:space="preserve">Firefighter/Paramedic </t>
    </r>
    <r>
      <rPr>
        <b/>
        <sz val="9"/>
        <color theme="1"/>
        <rFont val="Times New Roman"/>
        <family val="1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(4)</t>
    </r>
  </si>
  <si>
    <t>Firefighter/Paramedic           (5)</t>
  </si>
  <si>
    <r>
      <t xml:space="preserve">                                                                                                                      </t>
    </r>
    <r>
      <rPr>
        <b/>
        <i/>
        <sz val="14"/>
        <color theme="1"/>
        <rFont val="Times New Roman"/>
        <family val="1"/>
      </rPr>
      <t>CPUD Wages</t>
    </r>
  </si>
  <si>
    <r>
      <t xml:space="preserve">               </t>
    </r>
    <r>
      <rPr>
        <b/>
        <i/>
        <sz val="16"/>
        <color theme="1"/>
        <rFont val="Times New Roman"/>
        <family val="1"/>
      </rPr>
      <t xml:space="preserve">                                                   Administration Wages</t>
    </r>
  </si>
  <si>
    <r>
      <t xml:space="preserve">                   </t>
    </r>
    <r>
      <rPr>
        <b/>
        <i/>
        <sz val="16"/>
        <color theme="1"/>
        <rFont val="Calibri"/>
        <family val="2"/>
        <scheme val="minor"/>
      </rPr>
      <t xml:space="preserve">                                                         Fire Wages</t>
    </r>
  </si>
  <si>
    <t xml:space="preserve">                                  CPUD Training&amp;Travel</t>
  </si>
  <si>
    <t xml:space="preserve">                      Administration Training&amp;Travel</t>
  </si>
  <si>
    <t xml:space="preserve">                               Fire Training&amp;Travel</t>
  </si>
  <si>
    <t>Masa</t>
  </si>
  <si>
    <t>Captain/EMT        1</t>
  </si>
  <si>
    <t>EMT                    2</t>
  </si>
  <si>
    <t>EMT                    3</t>
  </si>
  <si>
    <t>Paramedic                     4</t>
  </si>
  <si>
    <t>Paramedic                     5</t>
  </si>
  <si>
    <t>Seasonal</t>
  </si>
  <si>
    <t>21/22</t>
  </si>
  <si>
    <t>EMT/Medic Cert</t>
  </si>
  <si>
    <t>Training Allowance</t>
  </si>
  <si>
    <t>Volunteers</t>
  </si>
  <si>
    <t xml:space="preserve">                                 CPUD &amp; Fire Allocations</t>
  </si>
  <si>
    <t>200 Total</t>
  </si>
  <si>
    <t>300 Total</t>
  </si>
  <si>
    <t>400 Total</t>
  </si>
  <si>
    <t>600 Total</t>
  </si>
  <si>
    <t>Frontier</t>
  </si>
  <si>
    <t>Fire Paramedic       (6)</t>
  </si>
  <si>
    <t>Fire Captain/EMT        1</t>
  </si>
  <si>
    <t>Firefighter/EMT          2</t>
  </si>
  <si>
    <t>Firefighter/EMT   3</t>
  </si>
  <si>
    <r>
      <t>Firefighter/Paramedic 4</t>
    </r>
    <r>
      <rPr>
        <b/>
        <sz val="10"/>
        <color theme="1"/>
        <rFont val="Times New Roman"/>
        <family val="1"/>
      </rPr>
      <t xml:space="preserve"> </t>
    </r>
  </si>
  <si>
    <t>Firefighter/Paramedic     5</t>
  </si>
  <si>
    <t>Firefighter/Paramedic    6</t>
  </si>
  <si>
    <t>Fire Captain/EMT              1</t>
  </si>
  <si>
    <t>Firefighter/EMT                 2</t>
  </si>
  <si>
    <r>
      <t xml:space="preserve">Firefighter/Paramedic </t>
    </r>
    <r>
      <rPr>
        <b/>
        <sz val="10"/>
        <color theme="1"/>
        <rFont val="Times New Roman"/>
        <family val="1"/>
      </rPr>
      <t xml:space="preserve">     4</t>
    </r>
  </si>
  <si>
    <t>Firefighter/EMT                 3</t>
  </si>
  <si>
    <t>Firefighter/Paramedic    5</t>
  </si>
  <si>
    <t>Firefighter/Paramedic     6</t>
  </si>
  <si>
    <t>Firefighter/Paramedic           (6)</t>
  </si>
  <si>
    <t>Firefighter/Paramedic    (6)</t>
  </si>
  <si>
    <t>Fire Captain/EMT                     1</t>
  </si>
  <si>
    <t>Firefighter/EMT                        2</t>
  </si>
  <si>
    <t>Firefighter/EMT                        3</t>
  </si>
  <si>
    <r>
      <t xml:space="preserve">Firefighter/Paramedic </t>
    </r>
    <r>
      <rPr>
        <b/>
        <sz val="9"/>
        <color theme="1"/>
        <rFont val="Times New Roman"/>
        <family val="1"/>
      </rPr>
      <t xml:space="preserve">          4</t>
    </r>
  </si>
  <si>
    <t>Firefighter/Paramedic          5</t>
  </si>
  <si>
    <t>Firefighter/Paramedic          6</t>
  </si>
  <si>
    <t>Fire Captain/EMT                    1</t>
  </si>
  <si>
    <t>Firefighter/EMT                       2</t>
  </si>
  <si>
    <t>Firefighter/EMT                       3</t>
  </si>
  <si>
    <t>Firefighter/Paramedic           4</t>
  </si>
  <si>
    <t>Firefighter/Paramedic           6</t>
  </si>
  <si>
    <t>Firefighter/Paramedic    7</t>
  </si>
  <si>
    <t>Fire Captain/EMT                1</t>
  </si>
  <si>
    <t>Firefighter/EMT                   2</t>
  </si>
  <si>
    <t>Firefighter/EMT                   3</t>
  </si>
  <si>
    <t>Firefighter/Paramedic      4</t>
  </si>
  <si>
    <t>Firefighter/Paramedic     7</t>
  </si>
  <si>
    <r>
      <t xml:space="preserve">Firefighter/Paramedic   </t>
    </r>
    <r>
      <rPr>
        <b/>
        <sz val="9"/>
        <color theme="1"/>
        <rFont val="Times New Roman"/>
        <family val="1"/>
      </rPr>
      <t xml:space="preserve"> 4</t>
    </r>
  </si>
  <si>
    <r>
      <t xml:space="preserve">Firefighter/Paramedic   </t>
    </r>
    <r>
      <rPr>
        <b/>
        <sz val="9"/>
        <color theme="1"/>
        <rFont val="Times New Roman"/>
        <family val="1"/>
      </rPr>
      <t xml:space="preserve"> 5</t>
    </r>
  </si>
  <si>
    <r>
      <t xml:space="preserve">Firefighter/Paramedic   </t>
    </r>
    <r>
      <rPr>
        <b/>
        <sz val="9"/>
        <color theme="1"/>
        <rFont val="Times New Roman"/>
        <family val="1"/>
      </rPr>
      <t xml:space="preserve"> 6</t>
    </r>
  </si>
  <si>
    <t>Cellular</t>
  </si>
  <si>
    <r>
      <t xml:space="preserve">         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Utilities</t>
    </r>
  </si>
  <si>
    <t xml:space="preserve">Satellite </t>
  </si>
  <si>
    <r>
      <t xml:space="preserve">100 </t>
    </r>
    <r>
      <rPr>
        <sz val="8"/>
        <color theme="1"/>
        <rFont val="Calibri"/>
        <family val="2"/>
        <scheme val="minor"/>
      </rPr>
      <t>Street Lights</t>
    </r>
  </si>
  <si>
    <r>
      <t xml:space="preserve">200 </t>
    </r>
    <r>
      <rPr>
        <sz val="8"/>
        <color theme="1"/>
        <rFont val="Calibri"/>
        <family val="2"/>
        <scheme val="minor"/>
      </rPr>
      <t>Water</t>
    </r>
  </si>
  <si>
    <r>
      <t xml:space="preserve">300 </t>
    </r>
    <r>
      <rPr>
        <sz val="8"/>
        <color theme="1"/>
        <rFont val="Calibri"/>
        <family val="2"/>
        <scheme val="minor"/>
      </rPr>
      <t>Sanitation</t>
    </r>
  </si>
  <si>
    <r>
      <t xml:space="preserve">400 </t>
    </r>
    <r>
      <rPr>
        <sz val="8"/>
        <color theme="1"/>
        <rFont val="Calibri"/>
        <family val="2"/>
        <scheme val="minor"/>
      </rPr>
      <t>Fire</t>
    </r>
  </si>
  <si>
    <r>
      <t xml:space="preserve">         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Auto</t>
    </r>
  </si>
  <si>
    <t>Fuel</t>
  </si>
  <si>
    <t>Auto Service</t>
  </si>
  <si>
    <t>Tire Service</t>
  </si>
  <si>
    <t>Rentals</t>
  </si>
  <si>
    <r>
      <t xml:space="preserve">600 </t>
    </r>
    <r>
      <rPr>
        <sz val="8"/>
        <color theme="1"/>
        <rFont val="Calibri"/>
        <family val="2"/>
        <scheme val="minor"/>
      </rPr>
      <t>Ambulance</t>
    </r>
  </si>
  <si>
    <t>3% Inflation</t>
  </si>
  <si>
    <t xml:space="preserve">                                                                                                         Utility Worsheet</t>
  </si>
  <si>
    <r>
      <t xml:space="preserve">                                                                                                         Auto Expense </t>
    </r>
    <r>
      <rPr>
        <i/>
        <sz val="11"/>
        <color theme="1"/>
        <rFont val="Calibri"/>
        <family val="2"/>
        <scheme val="minor"/>
      </rPr>
      <t>Worksheet</t>
    </r>
  </si>
  <si>
    <t>Tire</t>
  </si>
  <si>
    <t>Misc</t>
  </si>
  <si>
    <t xml:space="preserve">           </t>
  </si>
  <si>
    <t>V3 "Ford f250-2017"</t>
  </si>
  <si>
    <t>Tires</t>
  </si>
  <si>
    <t>Winter Tires</t>
  </si>
  <si>
    <t>V2 "Ford f250-2010"</t>
  </si>
  <si>
    <t>V1         "Ford f250-2003"</t>
  </si>
  <si>
    <t>V4 "Ford Escape-2017"</t>
  </si>
  <si>
    <t>Backhoe</t>
  </si>
  <si>
    <t>Jetter</t>
  </si>
  <si>
    <t>Wisperwatt 1</t>
  </si>
  <si>
    <t>Wisperwatt 2</t>
  </si>
  <si>
    <t xml:space="preserve">Dump Trailer </t>
  </si>
  <si>
    <t>Utility Trailer</t>
  </si>
  <si>
    <t>Emergency Repair</t>
  </si>
  <si>
    <t>Emergency repair</t>
  </si>
  <si>
    <t>V1  "Ford f250-2003"</t>
  </si>
  <si>
    <t>Tire Repair</t>
  </si>
  <si>
    <t>Tire repair</t>
  </si>
  <si>
    <t xml:space="preserve">v5  Ambulance </t>
  </si>
  <si>
    <t>v6 Ambulance</t>
  </si>
  <si>
    <t>v8 Fire Truck</t>
  </si>
  <si>
    <t>v9 Fire Truck</t>
  </si>
  <si>
    <t>v10 Fire Truck</t>
  </si>
  <si>
    <t>v 11Fire Truck</t>
  </si>
  <si>
    <t>v12 Ford</t>
  </si>
  <si>
    <t>v13 Ford</t>
  </si>
  <si>
    <t>v14 dodge</t>
  </si>
  <si>
    <t>v15 dodge</t>
  </si>
  <si>
    <t>total Auto 300</t>
  </si>
  <si>
    <t>200 Miscellaneous Worksheet</t>
  </si>
  <si>
    <t>600 Miscellaneous Worksheet</t>
  </si>
  <si>
    <t>400 Miscellaneous Worksheet</t>
  </si>
  <si>
    <t>300 Miscellaneous Worksheet</t>
  </si>
  <si>
    <t>postage</t>
  </si>
  <si>
    <t>legal</t>
  </si>
  <si>
    <t>other expenses</t>
  </si>
  <si>
    <t>copier</t>
  </si>
  <si>
    <t>Notes:</t>
  </si>
  <si>
    <t>Misc.</t>
  </si>
  <si>
    <t>Other Expense</t>
  </si>
  <si>
    <t>Legal</t>
  </si>
  <si>
    <t>Capital Reserves</t>
  </si>
  <si>
    <t xml:space="preserve">Authorized Capital </t>
  </si>
  <si>
    <t>Capital Resereves</t>
  </si>
  <si>
    <t>Autorized Capital</t>
  </si>
  <si>
    <t>F/year</t>
  </si>
  <si>
    <t>22/23</t>
  </si>
  <si>
    <t>23/24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</si>
  <si>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</si>
  <si>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</si>
  <si>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</si>
  <si>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</si>
  <si>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</si>
  <si>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</si>
  <si>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</si>
  <si>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</si>
  <si>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</si>
  <si>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</si>
  <si>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</si>
  <si>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</si>
  <si>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36/37</t>
  </si>
  <si>
    <t>37/38</t>
  </si>
  <si>
    <t>38/39</t>
  </si>
  <si>
    <t>39/40</t>
  </si>
  <si>
    <t>40/41</t>
  </si>
  <si>
    <t>41/42</t>
  </si>
  <si>
    <t>42/43</t>
  </si>
  <si>
    <t>43/44</t>
  </si>
  <si>
    <t>44/45</t>
  </si>
  <si>
    <t>45/46</t>
  </si>
  <si>
    <r>
      <t>198 Main St. -</t>
    </r>
    <r>
      <rPr>
        <sz val="14"/>
        <color theme="1"/>
        <rFont val="Calibri"/>
        <family val="2"/>
        <scheme val="minor"/>
      </rPr>
      <t xml:space="preserve"> Maintenance, appliances, upgrades, etc.</t>
    </r>
  </si>
  <si>
    <r>
      <t>V1         "</t>
    </r>
    <r>
      <rPr>
        <i/>
        <sz val="11"/>
        <color rgb="FFFF0000"/>
        <rFont val="Calibri"/>
        <family val="2"/>
        <scheme val="minor"/>
      </rPr>
      <t>Ford f250-2003"</t>
    </r>
  </si>
  <si>
    <r>
      <rPr>
        <sz val="11"/>
        <color rgb="FFFF0000"/>
        <rFont val="Calibri"/>
        <family val="2"/>
        <scheme val="minor"/>
      </rPr>
      <t>Building Improvements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25 years</t>
    </r>
  </si>
  <si>
    <t>F/Year of Replacement</t>
  </si>
  <si>
    <t>Cost to replace</t>
  </si>
  <si>
    <t>Allocation of Funds</t>
  </si>
  <si>
    <t>List of Assets</t>
  </si>
  <si>
    <t>Date Replaced/Maintenanced</t>
  </si>
  <si>
    <t>Parking Lot</t>
  </si>
  <si>
    <t>Roof</t>
  </si>
  <si>
    <t>Building upgrades/damage</t>
  </si>
  <si>
    <t>Generator</t>
  </si>
  <si>
    <t>General Maintenance</t>
  </si>
  <si>
    <t>Appliances</t>
  </si>
  <si>
    <r>
      <t xml:space="preserve">V3 </t>
    </r>
    <r>
      <rPr>
        <i/>
        <sz val="11"/>
        <color rgb="FFFF0000"/>
        <rFont val="Calibri"/>
        <family val="2"/>
        <scheme val="minor"/>
      </rPr>
      <t>"Ford f250-2017"</t>
    </r>
  </si>
  <si>
    <r>
      <t xml:space="preserve">V2 </t>
    </r>
    <r>
      <rPr>
        <i/>
        <sz val="11"/>
        <color rgb="FFFF0000"/>
        <rFont val="Calibri"/>
        <family val="2"/>
        <scheme val="minor"/>
      </rPr>
      <t>"Ford f250-2010"</t>
    </r>
  </si>
  <si>
    <t>Annual Cost</t>
  </si>
  <si>
    <r>
      <rPr>
        <sz val="11"/>
        <color rgb="FFFF0000"/>
        <rFont val="Calibri"/>
        <family val="2"/>
        <scheme val="minor"/>
      </rPr>
      <t>Ladder Truck 1-2:</t>
    </r>
    <r>
      <rPr>
        <sz val="11"/>
        <color theme="1"/>
        <rFont val="Calibri"/>
        <family val="2"/>
        <scheme val="minor"/>
      </rPr>
      <t xml:space="preserve">   10 </t>
    </r>
    <r>
      <rPr>
        <b/>
        <i/>
        <sz val="11"/>
        <color theme="1"/>
        <rFont val="Calibri"/>
        <family val="2"/>
        <scheme val="minor"/>
      </rPr>
      <t>years</t>
    </r>
  </si>
  <si>
    <r>
      <rPr>
        <sz val="11"/>
        <color rgb="FFFF0000"/>
        <rFont val="Calibri"/>
        <family val="2"/>
        <scheme val="minor"/>
      </rPr>
      <t xml:space="preserve"> Ambulance 1-2:</t>
    </r>
    <r>
      <rPr>
        <sz val="11"/>
        <color theme="1"/>
        <rFont val="Calibri"/>
        <family val="2"/>
        <scheme val="minor"/>
      </rPr>
      <t xml:space="preserve">     10 </t>
    </r>
    <r>
      <rPr>
        <b/>
        <i/>
        <sz val="11"/>
        <color theme="1"/>
        <rFont val="Calibri"/>
        <family val="2"/>
        <scheme val="minor"/>
      </rPr>
      <t>years</t>
    </r>
  </si>
  <si>
    <r>
      <rPr>
        <sz val="11"/>
        <color rgb="FFFF0000"/>
        <rFont val="Calibri"/>
        <family val="2"/>
        <scheme val="minor"/>
      </rPr>
      <t xml:space="preserve">Utility Vehicles 1-2:     </t>
    </r>
    <r>
      <rPr>
        <sz val="11"/>
        <color theme="1"/>
        <rFont val="Calibri"/>
        <family val="2"/>
        <scheme val="minor"/>
      </rPr>
      <t xml:space="preserve">      10 </t>
    </r>
    <r>
      <rPr>
        <b/>
        <i/>
        <sz val="11"/>
        <color theme="1"/>
        <rFont val="Calibri"/>
        <family val="2"/>
        <scheme val="minor"/>
      </rPr>
      <t>years</t>
    </r>
  </si>
  <si>
    <r>
      <rPr>
        <sz val="11"/>
        <color rgb="FFFF0000"/>
        <rFont val="Calibri"/>
        <family val="2"/>
        <scheme val="minor"/>
      </rPr>
      <t xml:space="preserve">Portable Generator: 2 </t>
    </r>
    <r>
      <rPr>
        <sz val="11"/>
        <color theme="1"/>
        <rFont val="Calibri"/>
        <family val="2"/>
        <scheme val="minor"/>
      </rPr>
      <t xml:space="preserve">      10 </t>
    </r>
    <r>
      <rPr>
        <b/>
        <i/>
        <sz val="11"/>
        <color theme="1"/>
        <rFont val="Calibri"/>
        <family val="2"/>
        <scheme val="minor"/>
      </rPr>
      <t>years</t>
    </r>
  </si>
  <si>
    <r>
      <rPr>
        <sz val="11"/>
        <color rgb="FFFF0000"/>
        <rFont val="Calibri"/>
        <family val="2"/>
        <scheme val="minor"/>
      </rPr>
      <t>Portable Generator: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1    </t>
    </r>
    <r>
      <rPr>
        <sz val="11"/>
        <color theme="1"/>
        <rFont val="Calibri"/>
        <family val="2"/>
        <scheme val="minor"/>
      </rPr>
      <t xml:space="preserve"> 10 </t>
    </r>
    <r>
      <rPr>
        <b/>
        <i/>
        <sz val="11"/>
        <color theme="1"/>
        <rFont val="Calibri"/>
        <family val="2"/>
        <scheme val="minor"/>
      </rPr>
      <t>years</t>
    </r>
  </si>
  <si>
    <r>
      <rPr>
        <sz val="11"/>
        <color rgb="FFFF0000"/>
        <rFont val="Calibri"/>
        <family val="2"/>
        <scheme val="minor"/>
      </rPr>
      <t>Backhoe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5 years</t>
    </r>
  </si>
  <si>
    <t>Tank Maintenance</t>
  </si>
  <si>
    <t>Valve Rehab</t>
  </si>
  <si>
    <t>Line Rehab</t>
  </si>
  <si>
    <t>Well 5</t>
  </si>
  <si>
    <t>Well 3</t>
  </si>
  <si>
    <t>Well 2</t>
  </si>
  <si>
    <t>Well 1b</t>
  </si>
  <si>
    <t>Building upgrades</t>
  </si>
  <si>
    <t>Controls &amp; Pumps</t>
  </si>
  <si>
    <r>
      <rPr>
        <sz val="11"/>
        <color rgb="FFFF0000"/>
        <rFont val="Calibri"/>
        <family val="2"/>
        <scheme val="minor"/>
      </rPr>
      <t>Distribution Improvements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25 years</t>
    </r>
  </si>
  <si>
    <r>
      <t xml:space="preserve">                          </t>
    </r>
    <r>
      <rPr>
        <b/>
        <sz val="18"/>
        <color theme="1"/>
        <rFont val="Calibri"/>
        <family val="2"/>
        <scheme val="minor"/>
      </rPr>
      <t xml:space="preserve"> Water</t>
    </r>
  </si>
  <si>
    <t>Martin Ranch L.S.</t>
  </si>
  <si>
    <t>Vision Lake L.S.</t>
  </si>
  <si>
    <t>Feather River L.S.</t>
  </si>
  <si>
    <t>Generator/Bypass Pump</t>
  </si>
  <si>
    <t>4th ave. L.S.</t>
  </si>
  <si>
    <r>
      <rPr>
        <sz val="11"/>
        <color rgb="FFFF0000"/>
        <rFont val="Calibri"/>
        <family val="2"/>
        <scheme val="minor"/>
      </rPr>
      <t>Collection System Improvements: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25 years</t>
    </r>
  </si>
  <si>
    <t>Levee</t>
  </si>
  <si>
    <t>Lab</t>
  </si>
  <si>
    <t>Plant upgrades/damage</t>
  </si>
  <si>
    <t>Shop</t>
  </si>
  <si>
    <r>
      <rPr>
        <sz val="11"/>
        <color rgb="FFFF0000"/>
        <rFont val="Calibri"/>
        <family val="2"/>
        <scheme val="minor"/>
      </rPr>
      <t>Plant Improvements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25 years</t>
    </r>
  </si>
  <si>
    <t>Sanitation-Plant &amp; Collection System</t>
  </si>
  <si>
    <r>
      <t>Fire Station -</t>
    </r>
    <r>
      <rPr>
        <sz val="14"/>
        <color theme="1"/>
        <rFont val="Calibri"/>
        <family val="2"/>
        <scheme val="minor"/>
      </rPr>
      <t xml:space="preserve"> Maintenance, appliances, upgrades, etc.</t>
    </r>
  </si>
  <si>
    <t xml:space="preserve">                                                                      Allocation available Funds</t>
  </si>
  <si>
    <t>Authorized Capital</t>
  </si>
  <si>
    <t>Fire 400</t>
  </si>
  <si>
    <t>Ambulance 600</t>
  </si>
  <si>
    <t xml:space="preserve">      </t>
  </si>
  <si>
    <t xml:space="preserve">                                                    Water 200</t>
  </si>
  <si>
    <t>Ray Morgan</t>
  </si>
  <si>
    <t>Streamline</t>
  </si>
  <si>
    <t>office maintenance</t>
  </si>
  <si>
    <t>FGL</t>
  </si>
  <si>
    <t>sampling</t>
  </si>
  <si>
    <t>Website Services</t>
  </si>
  <si>
    <t>Mary Cheek</t>
  </si>
  <si>
    <t>Abila</t>
  </si>
  <si>
    <t>subsription</t>
  </si>
  <si>
    <t>County</t>
  </si>
  <si>
    <t>snow removal</t>
  </si>
  <si>
    <t>Almanor Energy</t>
  </si>
  <si>
    <t>Membership</t>
  </si>
  <si>
    <t>Card Services</t>
  </si>
  <si>
    <t>Billing</t>
  </si>
  <si>
    <t>MCP-Tech</t>
  </si>
  <si>
    <t xml:space="preserve">    </t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</si>
  <si>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 Sanitation 300</t>
    </r>
  </si>
  <si>
    <t xml:space="preserve">                                                    Fire 400</t>
  </si>
  <si>
    <t xml:space="preserve">                                                    Ambulance 600</t>
  </si>
  <si>
    <t>target solutions</t>
  </si>
  <si>
    <t>learning</t>
  </si>
  <si>
    <t>RT Dennis</t>
  </si>
  <si>
    <t>Corr Pro</t>
  </si>
  <si>
    <t>tank Inspection</t>
  </si>
  <si>
    <t xml:space="preserve">Accounting </t>
  </si>
  <si>
    <t>Audit Services</t>
  </si>
  <si>
    <t>accounting</t>
  </si>
  <si>
    <t>Lawrence &amp; Associates</t>
  </si>
  <si>
    <t xml:space="preserve">Cal Fire </t>
  </si>
  <si>
    <t>in kind</t>
  </si>
  <si>
    <t>L.N Curtis &amp; Son</t>
  </si>
  <si>
    <t>Back Draft OPCO LLC</t>
  </si>
  <si>
    <t>Fire Reporting</t>
  </si>
  <si>
    <t>Firenet Lassen</t>
  </si>
  <si>
    <t>Burton's Fire</t>
  </si>
  <si>
    <t>pump test service</t>
  </si>
  <si>
    <t>Billing service</t>
  </si>
  <si>
    <t>Alpine Fire</t>
  </si>
  <si>
    <t>Weed &amp; Pest</t>
  </si>
  <si>
    <t>f/y 19/20</t>
  </si>
  <si>
    <t>f/y 20/21</t>
  </si>
  <si>
    <t>Dispatching Services</t>
  </si>
  <si>
    <t>f/y18/19</t>
  </si>
  <si>
    <t>f/y17/18</t>
  </si>
  <si>
    <t>service</t>
  </si>
  <si>
    <t xml:space="preserve"> 17/18</t>
  </si>
  <si>
    <t>Services</t>
  </si>
  <si>
    <t xml:space="preserve">     Professional Services </t>
  </si>
  <si>
    <t xml:space="preserve">                                   Professional Services Total Allocation</t>
  </si>
  <si>
    <t>Grant Expense</t>
  </si>
  <si>
    <t>Grant Expense+N261:N289</t>
  </si>
  <si>
    <t>Water Study: Radio Meter Grant</t>
  </si>
  <si>
    <t xml:space="preserve">Capitol </t>
  </si>
  <si>
    <t>Capitol Reserves</t>
  </si>
  <si>
    <t>Water Tanks</t>
  </si>
  <si>
    <t>Price</t>
  </si>
  <si>
    <t>20 Year</t>
  </si>
  <si>
    <t>15 Year</t>
  </si>
  <si>
    <t>10 Year</t>
  </si>
  <si>
    <t>5 Year</t>
  </si>
  <si>
    <t>Description</t>
  </si>
  <si>
    <t>Priority</t>
  </si>
  <si>
    <t xml:space="preserve">                                       Office Capitol Priority Plan</t>
  </si>
  <si>
    <t>Canon DX 4700</t>
  </si>
  <si>
    <t>21/22 Fiscal Year</t>
  </si>
  <si>
    <t>X</t>
  </si>
  <si>
    <t xml:space="preserve">            X</t>
  </si>
  <si>
    <t xml:space="preserve">          Capitol Reserve</t>
  </si>
  <si>
    <r>
      <t>Canon</t>
    </r>
    <r>
      <rPr>
        <b/>
        <sz val="9"/>
        <color theme="2" tint="-0.749961851863155"/>
        <rFont val="Calibri"/>
        <family val="2"/>
        <scheme val="minor"/>
      </rPr>
      <t xml:space="preserve"> image runner  1643 series</t>
    </r>
  </si>
  <si>
    <t>Office Printer</t>
  </si>
  <si>
    <t>Pond Treatment</t>
  </si>
  <si>
    <t>Violation Project</t>
  </si>
  <si>
    <t>Capitol</t>
  </si>
  <si>
    <t xml:space="preserve">                                       Sanitation Capitol Priority Plan</t>
  </si>
  <si>
    <t>Distribution Rehab</t>
  </si>
  <si>
    <t>Well 5 Generator</t>
  </si>
  <si>
    <t xml:space="preserve">             X</t>
  </si>
  <si>
    <t>Well 3  Rehab</t>
  </si>
  <si>
    <r>
      <t xml:space="preserve">             </t>
    </r>
    <r>
      <rPr>
        <b/>
        <sz val="14"/>
        <color theme="5"/>
        <rFont val="Calibri"/>
        <family val="2"/>
        <scheme val="minor"/>
      </rPr>
      <t xml:space="preserve">X </t>
    </r>
  </si>
  <si>
    <r>
      <t xml:space="preserve">Distribution Rehab- </t>
    </r>
    <r>
      <rPr>
        <sz val="8"/>
        <color theme="2" tint="-0.749961851863155"/>
        <rFont val="Calibri"/>
        <family val="2"/>
        <scheme val="minor"/>
      </rPr>
      <t>Radio Grant&amp;Distribution study</t>
    </r>
  </si>
  <si>
    <t>Tank 1&amp;2 rehab</t>
  </si>
  <si>
    <t>Capitol reserves</t>
  </si>
  <si>
    <t>Capitol Fiscal 21/22</t>
  </si>
  <si>
    <t xml:space="preserve">                                       Distribution Capitol Priority Plan</t>
  </si>
  <si>
    <t>Capitol Reserve</t>
  </si>
  <si>
    <t xml:space="preserve">                                       Fire &amp; Water Headquarters</t>
  </si>
  <si>
    <t xml:space="preserve">          x</t>
  </si>
  <si>
    <t>F-250 2003</t>
  </si>
  <si>
    <r>
      <t xml:space="preserve">     </t>
    </r>
    <r>
      <rPr>
        <b/>
        <sz val="14"/>
        <color theme="5"/>
        <rFont val="Calibri"/>
        <family val="2"/>
        <scheme val="minor"/>
      </rPr>
      <t xml:space="preserve">      X</t>
    </r>
  </si>
  <si>
    <t>Windows</t>
  </si>
  <si>
    <r>
      <t>Portable Generator's-</t>
    </r>
    <r>
      <rPr>
        <b/>
        <sz val="10"/>
        <color theme="2" tint="-0.749961851863155"/>
        <rFont val="Calibri"/>
        <family val="2"/>
        <scheme val="minor"/>
      </rPr>
      <t>for lift station's</t>
    </r>
  </si>
  <si>
    <r>
      <t xml:space="preserve">        </t>
    </r>
    <r>
      <rPr>
        <b/>
        <sz val="18"/>
        <color theme="5"/>
        <rFont val="Calibri"/>
        <family val="2"/>
        <scheme val="minor"/>
      </rPr>
      <t xml:space="preserve">    x</t>
    </r>
  </si>
  <si>
    <t>F-250 2009</t>
  </si>
  <si>
    <t xml:space="preserve">     x</t>
  </si>
  <si>
    <r>
      <t xml:space="preserve">     </t>
    </r>
    <r>
      <rPr>
        <b/>
        <sz val="18"/>
        <color theme="5"/>
        <rFont val="Calibri"/>
        <family val="2"/>
        <scheme val="minor"/>
      </rPr>
      <t xml:space="preserve"> x</t>
    </r>
  </si>
  <si>
    <t xml:space="preserve">           X</t>
  </si>
  <si>
    <r>
      <t xml:space="preserve">           </t>
    </r>
    <r>
      <rPr>
        <b/>
        <sz val="16"/>
        <color rgb="FFFF0000"/>
        <rFont val="Calibri"/>
        <family val="2"/>
        <scheme val="minor"/>
      </rPr>
      <t xml:space="preserve"> x</t>
    </r>
  </si>
  <si>
    <t>Levee Rehab</t>
  </si>
  <si>
    <t xml:space="preserve">       X</t>
  </si>
  <si>
    <t>Capititol fiscal 21/22</t>
  </si>
  <si>
    <t xml:space="preserve">                                     198 Main Fire Station Capitol Priority Plan</t>
  </si>
  <si>
    <r>
      <t>Internet-</t>
    </r>
    <r>
      <rPr>
        <b/>
        <sz val="10"/>
        <color theme="2" tint="-0.749961851863155"/>
        <rFont val="Calibri"/>
        <family val="2"/>
        <scheme val="minor"/>
      </rPr>
      <t xml:space="preserve"> Headquarters internet infrastructure</t>
    </r>
  </si>
  <si>
    <t>Emergency</t>
  </si>
  <si>
    <r>
      <t xml:space="preserve">    </t>
    </r>
    <r>
      <rPr>
        <b/>
        <sz val="14"/>
        <color rgb="FFFF0000"/>
        <rFont val="Calibri"/>
        <family val="2"/>
        <scheme val="minor"/>
      </rPr>
      <t xml:space="preserve">        X</t>
    </r>
  </si>
  <si>
    <t>3 Recliners (shared with fire)</t>
  </si>
  <si>
    <t>Washer and Dryer (shared with 400)</t>
  </si>
  <si>
    <t>Range/Oven (shared with 400)</t>
  </si>
  <si>
    <t>6 Mattresses (shared with 400)</t>
  </si>
  <si>
    <t>Station flooring (shared with 400)</t>
  </si>
  <si>
    <t>1 AED Pro</t>
  </si>
  <si>
    <t>2 i-Pads (for use withSVMS)</t>
  </si>
  <si>
    <t>2 Stryker gurney batteries</t>
  </si>
  <si>
    <t>Studded tires for 7252</t>
  </si>
  <si>
    <t xml:space="preserve">                                       Ambulance Capitol Priority Plan</t>
  </si>
  <si>
    <t>Station flooring (shared with 600)</t>
  </si>
  <si>
    <t>1 Set of fire engine tires</t>
  </si>
  <si>
    <t>6 Mattresses</t>
  </si>
  <si>
    <t>Range/oven (shared with 600)</t>
  </si>
  <si>
    <t>Washer and dryer (shared with 600)</t>
  </si>
  <si>
    <t>3 Recliners (shared with 600)</t>
  </si>
  <si>
    <t xml:space="preserve">                                       Fire Capitol Priority Plan</t>
  </si>
  <si>
    <t xml:space="preserve">Backhoe            </t>
  </si>
  <si>
    <t>Column1</t>
  </si>
  <si>
    <t xml:space="preserve">                                      Water Asset Capitol Priority Plan</t>
  </si>
  <si>
    <t xml:space="preserve">                        Sanitation Assets Capitol Priority Plan</t>
  </si>
  <si>
    <r>
      <t xml:space="preserve">Martin Ranch </t>
    </r>
    <r>
      <rPr>
        <sz val="14"/>
        <color theme="2" tint="-0.749961851863155"/>
        <rFont val="Calibri"/>
        <family val="2"/>
        <scheme val="minor"/>
      </rPr>
      <t>L.S.</t>
    </r>
  </si>
  <si>
    <r>
      <t>Feather River</t>
    </r>
    <r>
      <rPr>
        <sz val="14"/>
        <color theme="2" tint="-0.749961851863155"/>
        <rFont val="Calibri"/>
        <family val="2"/>
        <scheme val="minor"/>
      </rPr>
      <t xml:space="preserve"> L.S.</t>
    </r>
  </si>
  <si>
    <r>
      <t>4th Ave.</t>
    </r>
    <r>
      <rPr>
        <sz val="14"/>
        <color theme="2" tint="-0.749961851863155"/>
        <rFont val="Calibri"/>
        <family val="2"/>
        <scheme val="minor"/>
      </rPr>
      <t xml:space="preserve"> L.S.</t>
    </r>
  </si>
  <si>
    <r>
      <t>Vision Lake</t>
    </r>
    <r>
      <rPr>
        <sz val="14"/>
        <color theme="2" tint="-0.749961851863155"/>
        <rFont val="Calibri"/>
        <family val="2"/>
        <scheme val="minor"/>
      </rPr>
      <t xml:space="preserve"> L.S.</t>
    </r>
  </si>
  <si>
    <t>Allocation</t>
  </si>
  <si>
    <t>Parking lot</t>
  </si>
  <si>
    <t>Dewalt Drill package</t>
  </si>
  <si>
    <r>
      <t xml:space="preserve">             </t>
    </r>
    <r>
      <rPr>
        <b/>
        <sz val="14"/>
        <color rgb="FFFF0000"/>
        <rFont val="Calibri"/>
        <family val="2"/>
        <scheme val="minor"/>
      </rPr>
      <t xml:space="preserve"> X</t>
    </r>
  </si>
  <si>
    <r>
      <t xml:space="preserve">       </t>
    </r>
    <r>
      <rPr>
        <b/>
        <sz val="14"/>
        <color rgb="FFFF0000"/>
        <rFont val="Calibri"/>
        <family val="2"/>
        <scheme val="minor"/>
      </rPr>
      <t xml:space="preserve"> X</t>
    </r>
  </si>
  <si>
    <t xml:space="preserve">                                                200 Water</t>
  </si>
  <si>
    <t>Total other income</t>
  </si>
  <si>
    <t>Backflow</t>
  </si>
  <si>
    <t>As of 4/30/2021</t>
  </si>
  <si>
    <t>Spring reads: June</t>
  </si>
  <si>
    <t>July</t>
  </si>
  <si>
    <t>Capital Reserves + Waste Management</t>
  </si>
  <si>
    <t xml:space="preserve">                                                300 Sanitation</t>
  </si>
  <si>
    <t>June</t>
  </si>
  <si>
    <t>Waste Management</t>
  </si>
  <si>
    <t xml:space="preserve">                                                400 Fire</t>
  </si>
  <si>
    <t>Special Assessments</t>
  </si>
  <si>
    <t xml:space="preserve">                                                600 Ambulance</t>
  </si>
  <si>
    <t>Total Expenses:</t>
  </si>
  <si>
    <t>2 month projection</t>
  </si>
  <si>
    <t>Compliance project</t>
  </si>
  <si>
    <t xml:space="preserve">Wages </t>
  </si>
  <si>
    <t>Wages</t>
  </si>
  <si>
    <t>insurance</t>
  </si>
  <si>
    <t>2,3</t>
  </si>
  <si>
    <t>2,3,4,6 breakdown</t>
  </si>
  <si>
    <t>Retiree  1</t>
  </si>
  <si>
    <t>Retiree  2</t>
  </si>
  <si>
    <t>Retiree  3</t>
  </si>
  <si>
    <t>Retiree  4</t>
  </si>
  <si>
    <t>Retiree  5</t>
  </si>
  <si>
    <t>Retiree  6</t>
  </si>
  <si>
    <t>ual</t>
  </si>
  <si>
    <t>457&amp;Cont.,ual</t>
  </si>
  <si>
    <t>Holiday</t>
  </si>
  <si>
    <t>Fire Captain/EMT            1</t>
  </si>
  <si>
    <t>Firefighter/EMT               2</t>
  </si>
  <si>
    <t>Firefighter/EMT        3</t>
  </si>
  <si>
    <r>
      <t xml:space="preserve">Firefighter/Paramedic </t>
    </r>
    <r>
      <rPr>
        <b/>
        <sz val="9"/>
        <color theme="1"/>
        <rFont val="Times New Roman"/>
        <family val="1"/>
      </rPr>
      <t xml:space="preserve"> 4</t>
    </r>
  </si>
  <si>
    <t>Firefighter/Paramedic 5</t>
  </si>
  <si>
    <t>Firefighter/Paramedic 6</t>
  </si>
  <si>
    <t>Firefighter/Paramedic  7</t>
  </si>
  <si>
    <t>Back hoe</t>
  </si>
  <si>
    <t>Back Hoe</t>
  </si>
  <si>
    <t>Firefighter/EMT              2</t>
  </si>
  <si>
    <t>Firefighter/EMT       3</t>
  </si>
  <si>
    <t>Firefighter/Paramedic  5</t>
  </si>
  <si>
    <r>
      <t xml:space="preserve">Firefighter/Paramedic </t>
    </r>
    <r>
      <rPr>
        <b/>
        <sz val="9"/>
        <color theme="1"/>
        <rFont val="Times New Roman"/>
        <family val="1"/>
      </rPr>
      <t xml:space="preserve"> 6</t>
    </r>
  </si>
  <si>
    <t>Total Expense</t>
  </si>
  <si>
    <t>Street Lights</t>
  </si>
  <si>
    <t xml:space="preserve">Annual            </t>
  </si>
  <si>
    <t xml:space="preserve">      COLA/Cert</t>
  </si>
  <si>
    <t>Overtime</t>
  </si>
  <si>
    <t>Fire Capt./EMT(1)</t>
  </si>
  <si>
    <t>Fire Paramedic (4)</t>
  </si>
  <si>
    <t xml:space="preserve">                                                     Allocation Breakdown Wages</t>
  </si>
  <si>
    <t xml:space="preserve">                                                     Allocation Breakdown Overtime</t>
  </si>
  <si>
    <t>on call</t>
  </si>
  <si>
    <t>wages</t>
  </si>
  <si>
    <t>overtime</t>
  </si>
  <si>
    <t>Ryan Wallace</t>
  </si>
  <si>
    <t>Andy Capella</t>
  </si>
  <si>
    <t>Karen Lichti</t>
  </si>
  <si>
    <t>Robert Marrifield</t>
  </si>
  <si>
    <t>Barbera Montandon</t>
  </si>
  <si>
    <t>Brian Harris</t>
  </si>
  <si>
    <t>William Turner</t>
  </si>
  <si>
    <t>Allan Homme</t>
  </si>
  <si>
    <t>Cheryl Johnson</t>
  </si>
  <si>
    <t>Kelly Sanders</t>
  </si>
  <si>
    <t>Liam Bengaard</t>
  </si>
  <si>
    <t>Justin Bottini</t>
  </si>
  <si>
    <t>Isreal Lopez</t>
  </si>
  <si>
    <t>Bryan Layne</t>
  </si>
  <si>
    <t>Chris Dean</t>
  </si>
  <si>
    <t>Matt Momenier</t>
  </si>
  <si>
    <t>Ryan Johnson</t>
  </si>
  <si>
    <t>Tony Balb.</t>
  </si>
  <si>
    <t>wages             GM</t>
  </si>
  <si>
    <t xml:space="preserve">                           OM</t>
  </si>
  <si>
    <t>on call            Sec.</t>
  </si>
  <si>
    <t xml:space="preserve">                         Sec.</t>
  </si>
  <si>
    <r>
      <t xml:space="preserve">                   </t>
    </r>
    <r>
      <rPr>
        <b/>
        <i/>
        <sz val="16"/>
        <color theme="1"/>
        <rFont val="Calibri"/>
        <family val="2"/>
        <scheme val="minor"/>
      </rPr>
      <t xml:space="preserve">                                                         Ambulance Wages</t>
    </r>
  </si>
  <si>
    <t>Fire Capt./EMT (1)</t>
  </si>
  <si>
    <t>Fire EMT           (2)</t>
  </si>
  <si>
    <t>Fire EMT           (3)</t>
  </si>
  <si>
    <r>
      <t xml:space="preserve">                                              </t>
    </r>
    <r>
      <rPr>
        <b/>
        <sz val="12"/>
        <color theme="1"/>
        <rFont val="Calibri"/>
        <family val="2"/>
        <scheme val="minor"/>
      </rPr>
      <t xml:space="preserve"> Over Time Pay</t>
    </r>
  </si>
  <si>
    <t>Administration Overtime</t>
  </si>
  <si>
    <t>Over Time</t>
  </si>
  <si>
    <t>Firefighter/Paramedic     4</t>
  </si>
  <si>
    <t>Matt Turner.</t>
  </si>
  <si>
    <t>Wages + OT</t>
  </si>
  <si>
    <t>Clothing</t>
  </si>
  <si>
    <t>clothing</t>
  </si>
  <si>
    <t xml:space="preserve">UAL </t>
  </si>
  <si>
    <t>Inhance Business Fee</t>
  </si>
  <si>
    <t>See 600 Cap priority</t>
  </si>
  <si>
    <t>Office printer</t>
  </si>
  <si>
    <t>Line of credit</t>
  </si>
  <si>
    <t>Copier</t>
  </si>
  <si>
    <t>Ambulance Revenue "Insurance"</t>
  </si>
  <si>
    <t>Employee  Benefits</t>
  </si>
  <si>
    <t>60325 Annual Allocations</t>
  </si>
  <si>
    <r>
      <rPr>
        <b/>
        <sz val="8"/>
        <color theme="1"/>
        <rFont val="Times New Roman"/>
        <family val="1"/>
      </rPr>
      <t>60400 Employee Ben</t>
    </r>
    <r>
      <rPr>
        <b/>
        <sz val="12"/>
        <color theme="1"/>
        <rFont val="Times New Roman"/>
        <family val="1"/>
      </rPr>
      <t>.</t>
    </r>
  </si>
  <si>
    <t>PERS Retiree Health Expense</t>
  </si>
  <si>
    <t>Satellite</t>
  </si>
  <si>
    <t>Perdiem  Medic</t>
  </si>
  <si>
    <t xml:space="preserve"> Perdiem EMT</t>
  </si>
  <si>
    <r>
      <rPr>
        <b/>
        <sz val="20"/>
        <color theme="1"/>
        <rFont val="Calibri"/>
        <family val="2"/>
        <scheme val="minor"/>
      </rPr>
      <t xml:space="preserve">Sanitation 300  </t>
    </r>
    <r>
      <rPr>
        <b/>
        <sz val="16"/>
        <color theme="1"/>
        <rFont val="Calibri"/>
        <family val="2"/>
        <scheme val="minor"/>
      </rPr>
      <t xml:space="preserve">    </t>
    </r>
  </si>
  <si>
    <t xml:space="preserve">                      Fire 400</t>
  </si>
  <si>
    <t xml:space="preserve">              Water 200</t>
  </si>
  <si>
    <r>
      <t xml:space="preserve">               </t>
    </r>
    <r>
      <rPr>
        <b/>
        <i/>
        <sz val="18"/>
        <color theme="1"/>
        <rFont val="Calibri"/>
        <family val="2"/>
        <scheme val="minor"/>
      </rPr>
      <t xml:space="preserve">Ambulance 600 </t>
    </r>
  </si>
  <si>
    <t xml:space="preserve">                              PERS Retirement</t>
  </si>
  <si>
    <r>
      <t xml:space="preserve">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</rPr>
      <t>OT</t>
    </r>
    <r>
      <rPr>
        <b/>
        <sz val="9"/>
        <color theme="1"/>
        <rFont val="Times New Roman"/>
        <family val="1"/>
      </rPr>
      <t xml:space="preserve"> </t>
    </r>
    <r>
      <rPr>
        <b/>
        <i/>
        <sz val="14"/>
        <color theme="1"/>
        <rFont val="Times New Roman"/>
        <family val="1"/>
      </rPr>
      <t>CPUD Wages</t>
    </r>
  </si>
  <si>
    <t>june</t>
  </si>
  <si>
    <t>UAL &amp; 457</t>
  </si>
  <si>
    <t>Chester Public Utility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</si>
</sst>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"/>
    <numFmt numFmtId="166" formatCode="0.000%"/>
    <numFmt numFmtId="167" formatCode="&quot;$&quot;#,##0.00"/>
    <numFmt numFmtId="168" formatCode="#_)"/>
  </numFmts>
  <fonts count="88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i/>
      <sz val="16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2" tint="-0.749961851863155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14"/>
      <color rgb="FFFF0000"/>
      <name val="Calibri"/>
      <family val="2"/>
      <scheme val="minor"/>
    </font>
    <font>
      <b/>
      <sz val="12"/>
      <color theme="2" tint="-0.749961851863155"/>
      <name val="Calibri"/>
      <family val="2"/>
      <scheme val="minor"/>
    </font>
    <font>
      <b/>
      <sz val="11"/>
      <color theme="2" tint="-0.749961851863155"/>
      <name val="Calibri"/>
      <family val="2"/>
      <scheme val="minor"/>
    </font>
    <font>
      <b/>
      <sz val="10"/>
      <color theme="2" tint="-0.749961851863155"/>
      <name val="Calibri"/>
      <family val="2"/>
      <scheme val="minor"/>
    </font>
    <font>
      <b/>
      <sz val="9"/>
      <color theme="2" tint="-0.749961851863155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20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8"/>
      <color theme="2" tint="-0.749961851863155"/>
      <name val="Calibri"/>
      <family val="2"/>
      <scheme val="minor"/>
    </font>
    <font>
      <sz val="14"/>
      <color theme="5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Times New Roman"/>
      <family val="1"/>
    </font>
    <font>
      <sz val="11"/>
      <color rgb="FF9C6500"/>
      <name val="Calibri"/>
      <family val="2"/>
      <scheme val="minor"/>
    </font>
    <font>
      <sz val="8"/>
      <color rgb="FF9C6500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5117038483843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9" tint="0.5999938962981048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9" tint="0.59999389629810485"/>
      </left>
      <right/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0"/>
      </left>
      <right/>
      <top style="thin">
        <color theme="9" tint="0.59999389629810485"/>
      </top>
      <bottom/>
      <diagonal/>
    </border>
  </borders>
  <cellStyleXfs count="14">
    <xf numFmtId="0" fontId="0" fillId="0" borderId="0"/>
    <xf numFmtId="9" fontId="8" fillId="0" borderId="0" applyFont="0" applyFill="0" applyBorder="0" applyAlignment="0" applyProtection="0"/>
    <xf numFmtId="0" fontId="9" fillId="0" borderId="1" applyNumberFormat="0" applyFill="0" applyAlignment="0" applyProtection="0"/>
    <xf numFmtId="0" fontId="8" fillId="13" borderId="18" applyNumberFormat="0" applyFont="0" applyAlignment="0" applyProtection="0"/>
    <xf numFmtId="0" fontId="38" fillId="16" borderId="0" applyNumberFormat="0" applyBorder="0" applyAlignment="0" applyProtection="0"/>
    <xf numFmtId="0" fontId="47" fillId="17" borderId="0" applyNumberFormat="0" applyBorder="0" applyAlignment="0" applyProtection="0"/>
    <xf numFmtId="0" fontId="48" fillId="18" borderId="19" applyNumberFormat="0" applyAlignment="0" applyProtection="0"/>
    <xf numFmtId="0" fontId="49" fillId="0" borderId="0" applyFill="0" applyBorder="0">
      <alignment horizontal="left" vertical="center" wrapText="1" indent="1"/>
    </xf>
    <xf numFmtId="44" fontId="49" fillId="0" borderId="0" applyFont="0" applyFill="0" applyBorder="0" applyProtection="0">
      <alignment horizontal="right" vertical="center"/>
    </xf>
    <xf numFmtId="168" fontId="49" fillId="0" borderId="0" applyFont="0" applyFill="0" applyBorder="0">
      <alignment horizontal="right" vertical="center"/>
    </xf>
    <xf numFmtId="0" fontId="53" fillId="0" borderId="0" applyNumberFormat="0" applyFill="0" applyBorder="0" applyProtection="0">
      <alignment horizontal="left" vertical="center" indent="1"/>
    </xf>
    <xf numFmtId="0" fontId="55" fillId="19" borderId="23" applyProtection="0">
      <alignment vertical="center"/>
    </xf>
    <xf numFmtId="44" fontId="8" fillId="0" borderId="0" applyFont="0" applyFill="0" applyBorder="0" applyAlignment="0" applyProtection="0"/>
    <xf numFmtId="0" fontId="74" fillId="23" borderId="0" applyNumberFormat="0" applyBorder="0" applyAlignment="0" applyProtection="0"/>
  </cellStyleXfs>
  <cellXfs count="537">
    <xf numFmtId="0" fontId="0" fillId="0" borderId="0" xfId="0"/>
    <xf numFmtId="6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right"/>
    </xf>
    <xf numFmtId="0" fontId="22" fillId="0" borderId="0" xfId="0" applyFont="1"/>
    <xf numFmtId="0" fontId="18" fillId="0" borderId="0" xfId="0" applyFont="1"/>
    <xf numFmtId="0" fontId="10" fillId="0" borderId="0" xfId="0" applyFont="1"/>
    <xf numFmtId="7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0" fillId="5" borderId="15" xfId="0" applyFill="1" applyBorder="1"/>
    <xf numFmtId="0" fontId="4" fillId="3" borderId="14" xfId="0" applyFont="1" applyFill="1" applyBorder="1" applyAlignment="1">
      <alignment horizontal="center"/>
    </xf>
    <xf numFmtId="0" fontId="0" fillId="3" borderId="15" xfId="0" applyFill="1" applyBorder="1"/>
    <xf numFmtId="0" fontId="21" fillId="3" borderId="15" xfId="0" applyFont="1" applyFill="1" applyBorder="1"/>
    <xf numFmtId="0" fontId="0" fillId="3" borderId="16" xfId="0" applyFill="1" applyBorder="1"/>
    <xf numFmtId="0" fontId="21" fillId="5" borderId="14" xfId="0" applyFont="1" applyFill="1" applyBorder="1" applyAlignment="1">
      <alignment horizontal="center" wrapText="1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7" fillId="5" borderId="11" xfId="0" applyFont="1" applyFill="1" applyBorder="1"/>
    <xf numFmtId="0" fontId="7" fillId="5" borderId="12" xfId="0" applyFont="1" applyFill="1" applyBorder="1"/>
    <xf numFmtId="0" fontId="0" fillId="6" borderId="0" xfId="0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10" borderId="0" xfId="0" applyFill="1"/>
    <xf numFmtId="165" fontId="0" fillId="11" borderId="0" xfId="0" applyNumberFormat="1" applyFill="1" applyAlignment="1">
      <alignment horizontal="center"/>
    </xf>
    <xf numFmtId="0" fontId="7" fillId="11" borderId="0" xfId="0" applyFont="1" applyFill="1"/>
    <xf numFmtId="0" fontId="0" fillId="11" borderId="0" xfId="0" applyFill="1"/>
    <xf numFmtId="0" fontId="0" fillId="11" borderId="0" xfId="0" applyFill="1" applyAlignment="1">
      <alignment horizontal="right"/>
    </xf>
    <xf numFmtId="0" fontId="2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0" fontId="0" fillId="5" borderId="0" xfId="0" applyFill="1"/>
    <xf numFmtId="0" fontId="21" fillId="5" borderId="0" xfId="0" applyFont="1" applyFill="1"/>
    <xf numFmtId="0" fontId="7" fillId="6" borderId="0" xfId="0" applyFont="1" applyFill="1"/>
    <xf numFmtId="0" fontId="7" fillId="6" borderId="0" xfId="0" applyFont="1" applyFill="1" applyAlignment="1">
      <alignment horizontal="left"/>
    </xf>
    <xf numFmtId="0" fontId="20" fillId="6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166" fontId="0" fillId="4" borderId="0" xfId="0" applyNumberFormat="1" applyFill="1" applyAlignment="1">
      <alignment horizontal="center"/>
    </xf>
    <xf numFmtId="0" fontId="0" fillId="4" borderId="0" xfId="0" applyFill="1" applyAlignment="1">
      <alignment horizontal="right"/>
    </xf>
    <xf numFmtId="0" fontId="22" fillId="5" borderId="0" xfId="0" applyFont="1" applyFill="1" applyAlignment="1">
      <alignment horizontal="center" wrapText="1"/>
    </xf>
    <xf numFmtId="0" fontId="28" fillId="4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 wrapText="1"/>
    </xf>
    <xf numFmtId="0" fontId="32" fillId="11" borderId="0" xfId="0" applyFont="1" applyFill="1"/>
    <xf numFmtId="0" fontId="21" fillId="11" borderId="0" xfId="0" applyFont="1" applyFill="1"/>
    <xf numFmtId="0" fontId="26" fillId="10" borderId="0" xfId="0" applyFont="1" applyFill="1"/>
    <xf numFmtId="0" fontId="28" fillId="10" borderId="0" xfId="0" applyFont="1" applyFill="1" applyAlignment="1">
      <alignment horizontal="center" wrapText="1"/>
    </xf>
    <xf numFmtId="0" fontId="20" fillId="5" borderId="0" xfId="0" applyFont="1" applyFill="1" applyAlignment="1">
      <alignment horizontal="center" wrapText="1"/>
    </xf>
    <xf numFmtId="7" fontId="0" fillId="4" borderId="0" xfId="0" applyNumberFormat="1" applyFill="1"/>
    <xf numFmtId="7" fontId="0" fillId="10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12" borderId="0" xfId="0" applyFill="1"/>
    <xf numFmtId="0" fontId="20" fillId="12" borderId="0" xfId="0" applyFont="1" applyFill="1" applyAlignment="1">
      <alignment horizontal="center"/>
    </xf>
    <xf numFmtId="0" fontId="20" fillId="12" borderId="0" xfId="0" applyFont="1" applyFill="1"/>
    <xf numFmtId="0" fontId="7" fillId="12" borderId="0" xfId="0" applyFont="1" applyFill="1"/>
    <xf numFmtId="0" fontId="30" fillId="12" borderId="0" xfId="0" applyFont="1" applyFill="1"/>
    <xf numFmtId="0" fontId="7" fillId="12" borderId="0" xfId="0" applyFont="1" applyFill="1" applyAlignment="1">
      <alignment horizontal="left"/>
    </xf>
    <xf numFmtId="0" fontId="0" fillId="12" borderId="0" xfId="0" applyFill="1" applyAlignment="1">
      <alignment horizontal="right"/>
    </xf>
    <xf numFmtId="0" fontId="20" fillId="11" borderId="0" xfId="0" applyFont="1" applyFill="1" applyAlignment="1">
      <alignment horizontal="center" wrapText="1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/>
    </xf>
    <xf numFmtId="165" fontId="0" fillId="11" borderId="0" xfId="0" applyNumberFormat="1" applyFill="1" applyAlignment="1">
      <alignment horizontal="right"/>
    </xf>
    <xf numFmtId="0" fontId="4" fillId="4" borderId="0" xfId="0" applyFont="1" applyFill="1" applyAlignment="1">
      <alignment horizontal="center"/>
    </xf>
    <xf numFmtId="0" fontId="21" fillId="4" borderId="0" xfId="0" applyFont="1" applyFill="1"/>
    <xf numFmtId="0" fontId="21" fillId="4" borderId="0" xfId="0" applyFont="1" applyFill="1" applyAlignment="1">
      <alignment horizontal="center" wrapText="1"/>
    </xf>
    <xf numFmtId="0" fontId="30" fillId="4" borderId="0" xfId="0" applyFont="1" applyFill="1" applyAlignment="1">
      <alignment horizontal="center" wrapText="1"/>
    </xf>
    <xf numFmtId="0" fontId="7" fillId="4" borderId="0" xfId="0" applyFont="1" applyFill="1"/>
    <xf numFmtId="165" fontId="0" fillId="10" borderId="6" xfId="0" applyNumberFormat="1" applyFill="1" applyBorder="1" applyAlignment="1">
      <alignment horizontal="center"/>
    </xf>
    <xf numFmtId="165" fontId="0" fillId="10" borderId="0" xfId="0" applyNumberFormat="1" applyFill="1" applyBorder="1" applyAlignment="1">
      <alignment horizontal="center"/>
    </xf>
    <xf numFmtId="165" fontId="0" fillId="10" borderId="12" xfId="0" applyNumberFormat="1" applyFill="1" applyBorder="1" applyAlignment="1">
      <alignment horizontal="center"/>
    </xf>
    <xf numFmtId="165" fontId="0" fillId="10" borderId="8" xfId="0" applyNumberForma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8" xfId="0" applyFill="1" applyBorder="1"/>
    <xf numFmtId="165" fontId="0" fillId="10" borderId="10" xfId="0" applyNumberFormat="1" applyFill="1" applyBorder="1" applyAlignment="1">
      <alignment horizontal="center"/>
    </xf>
    <xf numFmtId="0" fontId="0" fillId="5" borderId="5" xfId="0" applyFill="1" applyBorder="1"/>
    <xf numFmtId="0" fontId="0" fillId="5" borderId="16" xfId="0" applyFill="1" applyBorder="1"/>
    <xf numFmtId="0" fontId="0" fillId="5" borderId="3" xfId="0" applyFill="1" applyBorder="1"/>
    <xf numFmtId="0" fontId="0" fillId="5" borderId="0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8" xfId="0" applyFill="1" applyBorder="1"/>
    <xf numFmtId="165" fontId="0" fillId="5" borderId="7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0" fontId="0" fillId="5" borderId="6" xfId="0" applyFill="1" applyBorder="1"/>
    <xf numFmtId="165" fontId="0" fillId="5" borderId="0" xfId="0" applyNumberFormat="1" applyFill="1" applyBorder="1" applyAlignment="1">
      <alignment horizontal="center"/>
    </xf>
    <xf numFmtId="0" fontId="0" fillId="5" borderId="13" xfId="0" applyFill="1" applyBorder="1" applyAlignment="1">
      <alignment horizontal="right"/>
    </xf>
    <xf numFmtId="165" fontId="0" fillId="5" borderId="9" xfId="0" applyNumberForma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0" fillId="5" borderId="10" xfId="0" applyFill="1" applyBorder="1"/>
    <xf numFmtId="0" fontId="6" fillId="4" borderId="0" xfId="0" applyFont="1" applyFill="1"/>
    <xf numFmtId="8" fontId="0" fillId="4" borderId="0" xfId="0" applyNumberFormat="1" applyFill="1"/>
    <xf numFmtId="6" fontId="0" fillId="4" borderId="0" xfId="0" applyNumberFormat="1" applyFill="1"/>
    <xf numFmtId="0" fontId="26" fillId="4" borderId="0" xfId="0" applyFont="1" applyFill="1"/>
    <xf numFmtId="0" fontId="25" fillId="4" borderId="0" xfId="0" applyFont="1" applyFill="1"/>
    <xf numFmtId="0" fontId="12" fillId="4" borderId="0" xfId="0" applyFont="1" applyFill="1"/>
    <xf numFmtId="0" fontId="22" fillId="4" borderId="0" xfId="0" applyFont="1" applyFill="1"/>
    <xf numFmtId="0" fontId="20" fillId="4" borderId="0" xfId="0" applyFont="1" applyFill="1"/>
    <xf numFmtId="8" fontId="0" fillId="10" borderId="0" xfId="0" applyNumberFormat="1" applyFill="1"/>
    <xf numFmtId="6" fontId="0" fillId="10" borderId="0" xfId="0" applyNumberFormat="1" applyFill="1"/>
    <xf numFmtId="0" fontId="21" fillId="10" borderId="0" xfId="0" applyFont="1" applyFill="1"/>
    <xf numFmtId="0" fontId="22" fillId="10" borderId="0" xfId="0" applyFont="1" applyFill="1"/>
    <xf numFmtId="3" fontId="0" fillId="4" borderId="0" xfId="0" applyNumberFormat="1" applyFill="1"/>
    <xf numFmtId="0" fontId="24" fillId="4" borderId="0" xfId="0" applyFont="1" applyFill="1"/>
    <xf numFmtId="0" fontId="12" fillId="10" borderId="0" xfId="0" applyFont="1" applyFill="1"/>
    <xf numFmtId="0" fontId="20" fillId="10" borderId="0" xfId="0" applyFont="1" applyFill="1"/>
    <xf numFmtId="0" fontId="20" fillId="10" borderId="0" xfId="0" applyFont="1" applyFill="1" applyAlignment="1">
      <alignment horizontal="right"/>
    </xf>
    <xf numFmtId="0" fontId="6" fillId="10" borderId="0" xfId="0" applyFont="1" applyFill="1"/>
    <xf numFmtId="0" fontId="24" fillId="10" borderId="0" xfId="0" applyFont="1" applyFill="1"/>
    <xf numFmtId="0" fontId="29" fillId="4" borderId="0" xfId="0" applyFont="1" applyFill="1"/>
    <xf numFmtId="0" fontId="4" fillId="4" borderId="0" xfId="0" applyFont="1" applyFill="1"/>
    <xf numFmtId="0" fontId="11" fillId="4" borderId="0" xfId="0" applyFont="1" applyFill="1"/>
    <xf numFmtId="0" fontId="3" fillId="4" borderId="0" xfId="0" applyFont="1" applyFill="1"/>
    <xf numFmtId="9" fontId="0" fillId="4" borderId="0" xfId="0" applyNumberFormat="1" applyFill="1"/>
    <xf numFmtId="0" fontId="0" fillId="4" borderId="0" xfId="0" applyFill="1" applyAlignment="1">
      <alignment wrapText="1"/>
    </xf>
    <xf numFmtId="8" fontId="0" fillId="4" borderId="0" xfId="0" applyNumberFormat="1" applyFill="1" applyAlignment="1">
      <alignment wrapText="1"/>
    </xf>
    <xf numFmtId="0" fontId="10" fillId="4" borderId="0" xfId="0" applyFont="1" applyFill="1"/>
    <xf numFmtId="164" fontId="0" fillId="4" borderId="0" xfId="0" applyNumberFormat="1" applyFill="1"/>
    <xf numFmtId="9" fontId="0" fillId="4" borderId="0" xfId="1" applyFont="1" applyFill="1"/>
    <xf numFmtId="0" fontId="34" fillId="4" borderId="0" xfId="0" applyFont="1" applyFill="1"/>
    <xf numFmtId="6" fontId="4" fillId="4" borderId="0" xfId="0" applyNumberFormat="1" applyFont="1" applyFill="1"/>
    <xf numFmtId="0" fontId="13" fillId="4" borderId="0" xfId="0" applyFont="1" applyFill="1"/>
    <xf numFmtId="0" fontId="29" fillId="10" borderId="17" xfId="0" applyFont="1" applyFill="1" applyBorder="1"/>
    <xf numFmtId="0" fontId="2" fillId="10" borderId="17" xfId="0" applyFont="1" applyFill="1" applyBorder="1"/>
    <xf numFmtId="0" fontId="0" fillId="10" borderId="17" xfId="0" applyFill="1" applyBorder="1"/>
    <xf numFmtId="0" fontId="11" fillId="10" borderId="17" xfId="0" applyFont="1" applyFill="1" applyBorder="1"/>
    <xf numFmtId="0" fontId="3" fillId="10" borderId="17" xfId="0" applyFont="1" applyFill="1" applyBorder="1"/>
    <xf numFmtId="0" fontId="29" fillId="4" borderId="17" xfId="0" applyFont="1" applyFill="1" applyBorder="1"/>
    <xf numFmtId="6" fontId="0" fillId="4" borderId="17" xfId="0" applyNumberFormat="1" applyFill="1" applyBorder="1"/>
    <xf numFmtId="9" fontId="0" fillId="4" borderId="17" xfId="0" applyNumberFormat="1" applyFill="1" applyBorder="1"/>
    <xf numFmtId="8" fontId="0" fillId="4" borderId="17" xfId="0" applyNumberFormat="1" applyFill="1" applyBorder="1"/>
    <xf numFmtId="0" fontId="0" fillId="4" borderId="17" xfId="0" applyFill="1" applyBorder="1"/>
    <xf numFmtId="7" fontId="0" fillId="4" borderId="17" xfId="0" applyNumberFormat="1" applyFill="1" applyBorder="1"/>
    <xf numFmtId="6" fontId="0" fillId="10" borderId="17" xfId="0" applyNumberFormat="1" applyFill="1" applyBorder="1" applyAlignment="1">
      <alignment wrapText="1"/>
    </xf>
    <xf numFmtId="9" fontId="0" fillId="10" borderId="17" xfId="0" applyNumberFormat="1" applyFill="1" applyBorder="1"/>
    <xf numFmtId="8" fontId="0" fillId="10" borderId="17" xfId="0" applyNumberFormat="1" applyFill="1" applyBorder="1"/>
    <xf numFmtId="0" fontId="0" fillId="10" borderId="17" xfId="0" applyFill="1" applyBorder="1" applyAlignment="1">
      <alignment wrapText="1"/>
    </xf>
    <xf numFmtId="8" fontId="0" fillId="10" borderId="17" xfId="0" applyNumberFormat="1" applyFill="1" applyBorder="1" applyAlignment="1">
      <alignment wrapText="1"/>
    </xf>
    <xf numFmtId="7" fontId="0" fillId="10" borderId="17" xfId="0" applyNumberFormat="1" applyFill="1" applyBorder="1"/>
    <xf numFmtId="8" fontId="0" fillId="4" borderId="17" xfId="0" applyNumberFormat="1" applyFill="1" applyBorder="1" applyAlignment="1">
      <alignment wrapText="1"/>
    </xf>
    <xf numFmtId="6" fontId="0" fillId="10" borderId="17" xfId="0" applyNumberFormat="1" applyFill="1" applyBorder="1"/>
    <xf numFmtId="0" fontId="10" fillId="4" borderId="17" xfId="0" applyFont="1" applyFill="1" applyBorder="1"/>
    <xf numFmtId="0" fontId="2" fillId="4" borderId="17" xfId="0" applyFont="1" applyFill="1" applyBorder="1"/>
    <xf numFmtId="164" fontId="0" fillId="10" borderId="17" xfId="0" applyNumberFormat="1" applyFill="1" applyBorder="1"/>
    <xf numFmtId="6" fontId="5" fillId="10" borderId="17" xfId="0" applyNumberFormat="1" applyFont="1" applyFill="1" applyBorder="1"/>
    <xf numFmtId="0" fontId="10" fillId="10" borderId="17" xfId="0" applyFont="1" applyFill="1" applyBorder="1"/>
    <xf numFmtId="3" fontId="0" fillId="10" borderId="17" xfId="0" applyNumberFormat="1" applyFill="1" applyBorder="1"/>
    <xf numFmtId="8" fontId="9" fillId="10" borderId="17" xfId="2" applyNumberFormat="1" applyFill="1" applyBorder="1"/>
    <xf numFmtId="0" fontId="12" fillId="4" borderId="17" xfId="0" applyFont="1" applyFill="1" applyBorder="1"/>
    <xf numFmtId="0" fontId="3" fillId="4" borderId="17" xfId="0" applyFont="1" applyFill="1" applyBorder="1" applyAlignment="1">
      <alignment horizontal="center"/>
    </xf>
    <xf numFmtId="0" fontId="4" fillId="4" borderId="17" xfId="0" applyFont="1" applyFill="1" applyBorder="1"/>
    <xf numFmtId="0" fontId="31" fillId="10" borderId="17" xfId="0" applyFont="1" applyFill="1" applyBorder="1"/>
    <xf numFmtId="0" fontId="31" fillId="4" borderId="17" xfId="0" applyFont="1" applyFill="1" applyBorder="1"/>
    <xf numFmtId="165" fontId="0" fillId="10" borderId="17" xfId="0" applyNumberFormat="1" applyFill="1" applyBorder="1" applyAlignment="1">
      <alignment horizontal="center"/>
    </xf>
    <xf numFmtId="165" fontId="0" fillId="4" borderId="17" xfId="0" applyNumberFormat="1" applyFill="1" applyBorder="1" applyAlignment="1">
      <alignment horizontal="center"/>
    </xf>
    <xf numFmtId="0" fontId="35" fillId="4" borderId="0" xfId="0" applyFont="1" applyFill="1"/>
    <xf numFmtId="0" fontId="36" fillId="4" borderId="0" xfId="0" applyFont="1" applyFill="1"/>
    <xf numFmtId="165" fontId="0" fillId="4" borderId="17" xfId="0" applyNumberFormat="1" applyFill="1" applyBorder="1"/>
    <xf numFmtId="5" fontId="0" fillId="4" borderId="17" xfId="0" applyNumberFormat="1" applyFill="1" applyBorder="1"/>
    <xf numFmtId="6" fontId="0" fillId="4" borderId="17" xfId="0" applyNumberFormat="1" applyFill="1" applyBorder="1" applyAlignment="1">
      <alignment wrapText="1"/>
    </xf>
    <xf numFmtId="164" fontId="0" fillId="4" borderId="17" xfId="0" applyNumberFormat="1" applyFill="1" applyBorder="1"/>
    <xf numFmtId="7" fontId="0" fillId="10" borderId="17" xfId="0" applyNumberFormat="1" applyFill="1" applyBorder="1" applyAlignment="1">
      <alignment horizontal="center"/>
    </xf>
    <xf numFmtId="7" fontId="0" fillId="4" borderId="17" xfId="0" applyNumberFormat="1" applyFill="1" applyBorder="1" applyAlignment="1">
      <alignment horizontal="center"/>
    </xf>
    <xf numFmtId="166" fontId="0" fillId="4" borderId="17" xfId="0" applyNumberFormat="1" applyFill="1" applyBorder="1" applyAlignment="1">
      <alignment horizontal="center"/>
    </xf>
    <xf numFmtId="166" fontId="0" fillId="4" borderId="17" xfId="0" applyNumberFormat="1" applyFill="1" applyBorder="1"/>
    <xf numFmtId="0" fontId="0" fillId="10" borderId="17" xfId="0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  <xf numFmtId="0" fontId="7" fillId="5" borderId="4" xfId="0" applyFont="1" applyFill="1" applyBorder="1"/>
    <xf numFmtId="0" fontId="7" fillId="5" borderId="7" xfId="0" applyFont="1" applyFill="1" applyBorder="1"/>
    <xf numFmtId="0" fontId="0" fillId="5" borderId="14" xfId="0" applyFill="1" applyBorder="1" applyAlignment="1">
      <alignment horizontal="right"/>
    </xf>
    <xf numFmtId="0" fontId="28" fillId="5" borderId="0" xfId="0" applyFont="1" applyFill="1" applyBorder="1" applyAlignment="1">
      <alignment horizontal="center" wrapText="1"/>
    </xf>
    <xf numFmtId="0" fontId="0" fillId="5" borderId="0" xfId="0" applyFill="1" applyBorder="1"/>
    <xf numFmtId="0" fontId="28" fillId="5" borderId="5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28" fillId="5" borderId="6" xfId="0" applyFont="1" applyFill="1" applyBorder="1" applyAlignment="1">
      <alignment horizontal="center" wrapText="1"/>
    </xf>
    <xf numFmtId="165" fontId="0" fillId="4" borderId="17" xfId="0" applyNumberFormat="1" applyFill="1" applyBorder="1" applyAlignment="1">
      <alignment horizontal="left"/>
    </xf>
    <xf numFmtId="0" fontId="0" fillId="5" borderId="17" xfId="0" applyFill="1" applyBorder="1"/>
    <xf numFmtId="166" fontId="0" fillId="10" borderId="17" xfId="0" applyNumberFormat="1" applyFill="1" applyBorder="1" applyAlignment="1">
      <alignment horizontal="center"/>
    </xf>
    <xf numFmtId="10" fontId="0" fillId="10" borderId="17" xfId="0" applyNumberFormat="1" applyFill="1" applyBorder="1" applyAlignment="1">
      <alignment horizontal="center"/>
    </xf>
    <xf numFmtId="167" fontId="0" fillId="10" borderId="17" xfId="0" applyNumberFormat="1" applyFill="1" applyBorder="1"/>
    <xf numFmtId="165" fontId="0" fillId="10" borderId="17" xfId="0" applyNumberFormat="1" applyFill="1" applyBorder="1"/>
    <xf numFmtId="0" fontId="0" fillId="4" borderId="17" xfId="0" applyFill="1" applyBorder="1" applyAlignment="1">
      <alignment horizontal="right"/>
    </xf>
    <xf numFmtId="165" fontId="0" fillId="4" borderId="17" xfId="0" applyNumberFormat="1" applyFill="1" applyBorder="1" applyAlignment="1">
      <alignment horizontal="right"/>
    </xf>
    <xf numFmtId="165" fontId="0" fillId="7" borderId="17" xfId="0" applyNumberFormat="1" applyFill="1" applyBorder="1" applyAlignment="1">
      <alignment horizontal="center"/>
    </xf>
    <xf numFmtId="165" fontId="0" fillId="7" borderId="17" xfId="0" applyNumberFormat="1" applyFill="1" applyBorder="1"/>
    <xf numFmtId="0" fontId="0" fillId="7" borderId="17" xfId="0" applyFill="1" applyBorder="1" applyAlignment="1">
      <alignment horizontal="center"/>
    </xf>
    <xf numFmtId="0" fontId="0" fillId="7" borderId="17" xfId="0" applyFill="1" applyBorder="1"/>
    <xf numFmtId="7" fontId="0" fillId="7" borderId="17" xfId="0" applyNumberFormat="1" applyFill="1" applyBorder="1"/>
    <xf numFmtId="167" fontId="0" fillId="7" borderId="17" xfId="0" applyNumberFormat="1" applyFill="1" applyBorder="1"/>
    <xf numFmtId="165" fontId="0" fillId="12" borderId="17" xfId="0" applyNumberFormat="1" applyFill="1" applyBorder="1" applyAlignment="1">
      <alignment horizontal="center"/>
    </xf>
    <xf numFmtId="7" fontId="0" fillId="8" borderId="17" xfId="0" applyNumberFormat="1" applyFill="1" applyBorder="1"/>
    <xf numFmtId="0" fontId="1" fillId="4" borderId="0" xfId="0" applyFont="1" applyFill="1"/>
    <xf numFmtId="0" fontId="4" fillId="10" borderId="17" xfId="0" applyFont="1" applyFill="1" applyBorder="1"/>
    <xf numFmtId="0" fontId="16" fillId="10" borderId="17" xfId="0" applyFont="1" applyFill="1" applyBorder="1"/>
    <xf numFmtId="0" fontId="17" fillId="10" borderId="17" xfId="0" applyFont="1" applyFill="1" applyBorder="1"/>
    <xf numFmtId="0" fontId="18" fillId="10" borderId="17" xfId="0" applyFont="1" applyFill="1" applyBorder="1" applyAlignment="1">
      <alignment wrapText="1"/>
    </xf>
    <xf numFmtId="0" fontId="5" fillId="10" borderId="17" xfId="0" applyFont="1" applyFill="1" applyBorder="1"/>
    <xf numFmtId="0" fontId="15" fillId="4" borderId="17" xfId="0" applyFont="1" applyFill="1" applyBorder="1"/>
    <xf numFmtId="0" fontId="14" fillId="10" borderId="17" xfId="0" applyFont="1" applyFill="1" applyBorder="1"/>
    <xf numFmtId="0" fontId="14" fillId="4" borderId="17" xfId="0" applyFont="1" applyFill="1" applyBorder="1"/>
    <xf numFmtId="8" fontId="17" fillId="10" borderId="17" xfId="0" applyNumberFormat="1" applyFont="1" applyFill="1" applyBorder="1"/>
    <xf numFmtId="0" fontId="10" fillId="10" borderId="17" xfId="0" applyFont="1" applyFill="1" applyBorder="1" applyAlignment="1">
      <alignment wrapText="1"/>
    </xf>
    <xf numFmtId="0" fontId="0" fillId="4" borderId="17" xfId="0" applyFill="1" applyBorder="1" applyAlignment="1">
      <alignment wrapText="1"/>
    </xf>
    <xf numFmtId="8" fontId="9" fillId="10" borderId="17" xfId="2" applyNumberFormat="1" applyFill="1" applyBorder="1" applyAlignment="1">
      <alignment wrapText="1"/>
    </xf>
    <xf numFmtId="0" fontId="19" fillId="10" borderId="17" xfId="0" applyFont="1" applyFill="1" applyBorder="1"/>
    <xf numFmtId="165" fontId="0" fillId="4" borderId="17" xfId="0" applyNumberFormat="1" applyFill="1" applyBorder="1" applyAlignment="1" applyProtection="1">
      <alignment horizontal="center"/>
      <protection locked="0"/>
    </xf>
    <xf numFmtId="0" fontId="27" fillId="10" borderId="17" xfId="0" applyFont="1" applyFill="1" applyBorder="1"/>
    <xf numFmtId="0" fontId="0" fillId="13" borderId="18" xfId="3" applyFont="1"/>
    <xf numFmtId="0" fontId="11" fillId="0" borderId="0" xfId="0" applyFont="1"/>
    <xf numFmtId="0" fontId="7" fillId="0" borderId="0" xfId="0" applyFont="1"/>
    <xf numFmtId="0" fontId="37" fillId="10" borderId="17" xfId="0" applyFont="1" applyFill="1" applyBorder="1"/>
    <xf numFmtId="8" fontId="14" fillId="10" borderId="17" xfId="0" applyNumberFormat="1" applyFont="1" applyFill="1" applyBorder="1"/>
    <xf numFmtId="8" fontId="18" fillId="10" borderId="17" xfId="0" applyNumberFormat="1" applyFont="1" applyFill="1" applyBorder="1" applyAlignment="1">
      <alignment wrapText="1"/>
    </xf>
    <xf numFmtId="8" fontId="0" fillId="13" borderId="18" xfId="3" applyNumberFormat="1" applyFont="1"/>
    <xf numFmtId="8" fontId="9" fillId="13" borderId="18" xfId="3" applyNumberFormat="1" applyFont="1" applyAlignment="1">
      <alignment wrapText="1"/>
    </xf>
    <xf numFmtId="8" fontId="0" fillId="14" borderId="18" xfId="3" applyNumberFormat="1" applyFont="1" applyFill="1"/>
    <xf numFmtId="8" fontId="38" fillId="14" borderId="18" xfId="3" applyNumberFormat="1" applyFont="1" applyFill="1"/>
    <xf numFmtId="8" fontId="0" fillId="15" borderId="0" xfId="0" applyNumberFormat="1" applyFill="1"/>
    <xf numFmtId="9" fontId="0" fillId="15" borderId="0" xfId="0" applyNumberFormat="1" applyFill="1"/>
    <xf numFmtId="8" fontId="0" fillId="2" borderId="0" xfId="0" applyNumberFormat="1" applyFill="1"/>
    <xf numFmtId="9" fontId="0" fillId="2" borderId="0" xfId="0" applyNumberFormat="1" applyFill="1"/>
    <xf numFmtId="0" fontId="0" fillId="4" borderId="17" xfId="0" applyNumberFormat="1" applyFill="1" applyBorder="1"/>
    <xf numFmtId="0" fontId="0" fillId="4" borderId="17" xfId="0" applyNumberFormat="1" applyFill="1" applyBorder="1" applyAlignment="1">
      <alignment horizontal="center"/>
    </xf>
    <xf numFmtId="0" fontId="17" fillId="10" borderId="17" xfId="0" applyNumberFormat="1" applyFont="1" applyFill="1" applyBorder="1"/>
    <xf numFmtId="0" fontId="0" fillId="10" borderId="17" xfId="0" applyNumberFormat="1" applyFill="1" applyBorder="1"/>
    <xf numFmtId="0" fontId="8" fillId="10" borderId="17" xfId="2" applyNumberFormat="1" applyFont="1" applyFill="1" applyBorder="1" applyAlignment="1">
      <alignment wrapText="1"/>
    </xf>
    <xf numFmtId="0" fontId="12" fillId="0" borderId="0" xfId="0" applyFont="1" applyAlignment="1">
      <alignment horizontal="left"/>
    </xf>
    <xf numFmtId="0" fontId="17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27" fillId="0" borderId="0" xfId="0" applyFont="1" applyAlignment="1">
      <alignment horizontal="center" wrapText="1"/>
    </xf>
    <xf numFmtId="37" fontId="0" fillId="5" borderId="0" xfId="0" applyNumberFormat="1" applyFill="1" applyAlignment="1">
      <alignment horizontal="center"/>
    </xf>
    <xf numFmtId="0" fontId="0" fillId="10" borderId="17" xfId="0" applyNumberFormat="1" applyFill="1" applyBorder="1" applyAlignment="1">
      <alignment horizontal="center"/>
    </xf>
    <xf numFmtId="0" fontId="30" fillId="5" borderId="0" xfId="0" applyFont="1" applyFill="1"/>
    <xf numFmtId="0" fontId="30" fillId="11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/>
    <xf numFmtId="0" fontId="41" fillId="0" borderId="0" xfId="0" applyFont="1"/>
    <xf numFmtId="0" fontId="41" fillId="4" borderId="0" xfId="0" applyFont="1" applyFill="1"/>
    <xf numFmtId="0" fontId="41" fillId="4" borderId="17" xfId="0" applyFont="1" applyFill="1" applyBorder="1"/>
    <xf numFmtId="0" fontId="7" fillId="10" borderId="0" xfId="0" applyFont="1" applyFill="1"/>
    <xf numFmtId="7" fontId="20" fillId="0" borderId="0" xfId="0" applyNumberFormat="1" applyFont="1"/>
    <xf numFmtId="7" fontId="0" fillId="13" borderId="18" xfId="3" applyNumberFormat="1" applyFont="1"/>
    <xf numFmtId="0" fontId="39" fillId="0" borderId="0" xfId="0" applyFont="1"/>
    <xf numFmtId="0" fontId="31" fillId="0" borderId="0" xfId="0" applyFont="1"/>
    <xf numFmtId="7" fontId="0" fillId="5" borderId="0" xfId="0" applyNumberFormat="1" applyFill="1"/>
    <xf numFmtId="7" fontId="0" fillId="2" borderId="0" xfId="0" applyNumberFormat="1" applyFill="1"/>
    <xf numFmtId="0" fontId="40" fillId="0" borderId="0" xfId="0" applyFont="1"/>
    <xf numFmtId="6" fontId="40" fillId="0" borderId="0" xfId="0" applyNumberFormat="1" applyFont="1"/>
    <xf numFmtId="7" fontId="40" fillId="0" borderId="0" xfId="0" applyNumberFormat="1" applyFont="1"/>
    <xf numFmtId="0" fontId="26" fillId="13" borderId="18" xfId="3" applyFont="1"/>
    <xf numFmtId="0" fontId="12" fillId="0" borderId="0" xfId="0" applyFont="1"/>
    <xf numFmtId="0" fontId="30" fillId="0" borderId="0" xfId="0" applyFont="1"/>
    <xf numFmtId="7" fontId="26" fillId="0" borderId="0" xfId="0" applyNumberFormat="1" applyFont="1"/>
    <xf numFmtId="7" fontId="26" fillId="4" borderId="0" xfId="0" applyNumberFormat="1" applyFont="1" applyFill="1"/>
    <xf numFmtId="7" fontId="26" fillId="10" borderId="0" xfId="0" applyNumberFormat="1" applyFont="1" applyFill="1"/>
    <xf numFmtId="6" fontId="42" fillId="0" borderId="0" xfId="0" applyNumberFormat="1" applyFont="1"/>
    <xf numFmtId="7" fontId="0" fillId="11" borderId="0" xfId="0" applyNumberFormat="1" applyFill="1"/>
    <xf numFmtId="7" fontId="42" fillId="0" borderId="0" xfId="0" applyNumberFormat="1" applyFont="1"/>
    <xf numFmtId="0" fontId="40" fillId="4" borderId="0" xfId="0" applyFont="1" applyFill="1"/>
    <xf numFmtId="14" fontId="0" fillId="4" borderId="0" xfId="0" applyNumberFormat="1" applyFill="1"/>
    <xf numFmtId="9" fontId="0" fillId="0" borderId="0" xfId="0" applyNumberFormat="1"/>
    <xf numFmtId="14" fontId="0" fillId="0" borderId="0" xfId="0" applyNumberFormat="1"/>
    <xf numFmtId="8" fontId="0" fillId="5" borderId="0" xfId="0" applyNumberFormat="1" applyFill="1"/>
    <xf numFmtId="6" fontId="0" fillId="5" borderId="0" xfId="0" applyNumberFormat="1" applyFill="1"/>
    <xf numFmtId="8" fontId="9" fillId="5" borderId="1" xfId="2" applyNumberFormat="1" applyFill="1"/>
    <xf numFmtId="14" fontId="0" fillId="5" borderId="0" xfId="0" applyNumberFormat="1" applyFill="1"/>
    <xf numFmtId="0" fontId="40" fillId="5" borderId="0" xfId="0" applyFont="1" applyFill="1"/>
    <xf numFmtId="9" fontId="0" fillId="5" borderId="0" xfId="0" applyNumberFormat="1" applyFill="1"/>
    <xf numFmtId="0" fontId="11" fillId="10" borderId="0" xfId="0" applyFont="1" applyFill="1"/>
    <xf numFmtId="0" fontId="26" fillId="0" borderId="0" xfId="0" applyFont="1"/>
    <xf numFmtId="0" fontId="0" fillId="9" borderId="0" xfId="0" applyFill="1"/>
    <xf numFmtId="8" fontId="9" fillId="4" borderId="1" xfId="2" applyNumberFormat="1" applyFill="1"/>
    <xf numFmtId="7" fontId="9" fillId="4" borderId="1" xfId="2" applyNumberFormat="1" applyFill="1"/>
    <xf numFmtId="0" fontId="40" fillId="10" borderId="0" xfId="0" applyFont="1" applyFill="1"/>
    <xf numFmtId="0" fontId="10" fillId="5" borderId="0" xfId="0" applyFont="1" applyFill="1"/>
    <xf numFmtId="0" fontId="39" fillId="5" borderId="0" xfId="0" applyFont="1" applyFill="1"/>
    <xf numFmtId="0" fontId="26" fillId="5" borderId="0" xfId="0" applyFont="1" applyFill="1"/>
    <xf numFmtId="8" fontId="9" fillId="0" borderId="1" xfId="2" applyNumberFormat="1"/>
    <xf numFmtId="0" fontId="21" fillId="0" borderId="0" xfId="0" applyFont="1" applyAlignment="1">
      <alignment horizontal="center"/>
    </xf>
    <xf numFmtId="0" fontId="46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30" fillId="0" borderId="0" xfId="0" applyFont="1" applyAlignment="1">
      <alignment horizontal="center" wrapText="1"/>
    </xf>
    <xf numFmtId="165" fontId="0" fillId="10" borderId="17" xfId="0" applyNumberFormat="1" applyFill="1" applyBorder="1" applyAlignment="1" applyProtection="1">
      <alignment horizontal="center"/>
      <protection locked="0"/>
    </xf>
    <xf numFmtId="165" fontId="0" fillId="10" borderId="17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horizontal="center" vertical="center"/>
    </xf>
    <xf numFmtId="0" fontId="30" fillId="13" borderId="18" xfId="3" applyFont="1"/>
    <xf numFmtId="0" fontId="46" fillId="13" borderId="18" xfId="3" applyFont="1"/>
    <xf numFmtId="0" fontId="47" fillId="17" borderId="0" xfId="5"/>
    <xf numFmtId="7" fontId="47" fillId="17" borderId="0" xfId="5" applyNumberFormat="1"/>
    <xf numFmtId="0" fontId="38" fillId="16" borderId="0" xfId="4"/>
    <xf numFmtId="7" fontId="38" fillId="16" borderId="0" xfId="4" applyNumberFormat="1"/>
    <xf numFmtId="0" fontId="48" fillId="18" borderId="19" xfId="6"/>
    <xf numFmtId="7" fontId="48" fillId="18" borderId="19" xfId="6" applyNumberFormat="1"/>
    <xf numFmtId="0" fontId="0" fillId="4" borderId="0" xfId="0" applyFill="1" applyBorder="1"/>
    <xf numFmtId="0" fontId="11" fillId="4" borderId="17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0" borderId="17" xfId="0" applyBorder="1"/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4" borderId="21" xfId="0" applyFill="1" applyBorder="1"/>
    <xf numFmtId="0" fontId="0" fillId="4" borderId="22" xfId="0" applyFill="1" applyBorder="1"/>
    <xf numFmtId="0" fontId="0" fillId="4" borderId="7" xfId="0" applyFill="1" applyBorder="1" applyAlignment="1">
      <alignment horizontal="center" vertical="center" wrapText="1"/>
    </xf>
    <xf numFmtId="0" fontId="23" fillId="4" borderId="0" xfId="0" applyFont="1" applyFill="1"/>
    <xf numFmtId="0" fontId="14" fillId="4" borderId="0" xfId="0" applyFont="1" applyFill="1"/>
    <xf numFmtId="0" fontId="32" fillId="10" borderId="0" xfId="0" applyFont="1" applyFill="1"/>
    <xf numFmtId="0" fontId="49" fillId="0" borderId="0" xfId="7">
      <alignment horizontal="left" vertical="center" wrapText="1" indent="1"/>
    </xf>
    <xf numFmtId="44" fontId="0" fillId="0" borderId="0" xfId="8" applyFont="1" applyFill="1" applyBorder="1" applyProtection="1">
      <alignment horizontal="right" vertical="center"/>
    </xf>
    <xf numFmtId="44" fontId="0" fillId="0" borderId="0" xfId="8" applyFont="1" applyFill="1" applyBorder="1" applyAlignment="1" applyProtection="1">
      <alignment horizontal="center" vertical="center"/>
    </xf>
    <xf numFmtId="168" fontId="0" fillId="0" borderId="0" xfId="9" applyFont="1" applyFill="1" applyBorder="1">
      <alignment horizontal="right" vertical="center"/>
    </xf>
    <xf numFmtId="0" fontId="49" fillId="0" borderId="0" xfId="7" applyFont="1" applyFill="1" applyBorder="1">
      <alignment horizontal="left" vertical="center" wrapText="1" indent="1"/>
    </xf>
    <xf numFmtId="0" fontId="50" fillId="0" borderId="0" xfId="7" applyFont="1" applyFill="1" applyBorder="1">
      <alignment horizontal="left" vertical="center" wrapText="1" indent="1"/>
    </xf>
    <xf numFmtId="0" fontId="51" fillId="0" borderId="0" xfId="7" applyFont="1" applyAlignment="1" applyProtection="1">
      <alignment vertical="center"/>
    </xf>
    <xf numFmtId="168" fontId="40" fillId="0" borderId="0" xfId="9" applyFont="1" applyFill="1" applyBorder="1" applyAlignment="1">
      <alignment horizontal="center" vertical="center"/>
    </xf>
    <xf numFmtId="0" fontId="52" fillId="0" borderId="0" xfId="7" applyFont="1" applyFill="1" applyBorder="1">
      <alignment horizontal="left" vertical="center" wrapText="1" indent="1"/>
    </xf>
    <xf numFmtId="44" fontId="53" fillId="0" borderId="0" xfId="10" applyNumberFormat="1" applyFill="1" applyBorder="1" applyAlignment="1" applyProtection="1">
      <alignment horizontal="center" vertical="center"/>
    </xf>
    <xf numFmtId="0" fontId="54" fillId="0" borderId="0" xfId="10" applyFont="1" applyFill="1" applyBorder="1">
      <alignment horizontal="left" vertical="center" indent="1"/>
    </xf>
    <xf numFmtId="0" fontId="26" fillId="2" borderId="0" xfId="10" applyFont="1" applyFill="1" applyBorder="1">
      <alignment horizontal="left" vertical="center" indent="1"/>
    </xf>
    <xf numFmtId="0" fontId="53" fillId="0" borderId="0" xfId="10" applyFill="1" applyBorder="1" applyAlignment="1">
      <alignment horizontal="center" vertical="center"/>
    </xf>
    <xf numFmtId="0" fontId="53" fillId="0" borderId="0" xfId="10" applyFill="1" applyBorder="1">
      <alignment horizontal="left" vertical="center" indent="1"/>
    </xf>
    <xf numFmtId="0" fontId="55" fillId="19" borderId="23" xfId="11" applyAlignment="1" applyProtection="1">
      <alignment vertical="top" wrapText="1"/>
    </xf>
    <xf numFmtId="0" fontId="49" fillId="20" borderId="0" xfId="7" applyFill="1">
      <alignment horizontal="left" vertical="center" wrapText="1" indent="1"/>
    </xf>
    <xf numFmtId="0" fontId="55" fillId="19" borderId="23" xfId="11" applyAlignment="1" applyProtection="1">
      <alignment vertical="center"/>
    </xf>
    <xf numFmtId="0" fontId="55" fillId="19" borderId="23" xfId="11" applyAlignment="1" applyProtection="1">
      <alignment horizontal="left" vertical="center" indent="2"/>
    </xf>
    <xf numFmtId="0" fontId="55" fillId="19" borderId="23" xfId="11" applyAlignment="1" applyProtection="1">
      <alignment horizontal="left" vertical="center"/>
    </xf>
    <xf numFmtId="0" fontId="49" fillId="2" borderId="0" xfId="7" applyFill="1">
      <alignment horizontal="left" vertical="center" wrapText="1" indent="1"/>
    </xf>
    <xf numFmtId="168" fontId="40" fillId="21" borderId="24" xfId="9" applyNumberFormat="1" applyFont="1" applyFill="1" applyBorder="1" applyAlignment="1">
      <alignment horizontal="center" vertical="center"/>
    </xf>
    <xf numFmtId="168" fontId="40" fillId="0" borderId="24" xfId="9" applyNumberFormat="1" applyFont="1" applyFill="1" applyBorder="1" applyAlignment="1">
      <alignment horizontal="center" vertical="center"/>
    </xf>
    <xf numFmtId="8" fontId="0" fillId="0" borderId="0" xfId="8" applyNumberFormat="1" applyFont="1" applyFill="1" applyBorder="1" applyProtection="1">
      <alignment horizontal="right" vertical="center"/>
    </xf>
    <xf numFmtId="0" fontId="56" fillId="0" borderId="0" xfId="7" applyFont="1" applyFill="1" applyBorder="1">
      <alignment horizontal="left" vertical="center" wrapText="1" indent="1"/>
    </xf>
    <xf numFmtId="6" fontId="0" fillId="0" borderId="0" xfId="8" applyNumberFormat="1" applyFont="1" applyFill="1" applyBorder="1" applyProtection="1">
      <alignment horizontal="right" vertical="center"/>
    </xf>
    <xf numFmtId="7" fontId="61" fillId="0" borderId="0" xfId="0" applyNumberFormat="1" applyFont="1"/>
    <xf numFmtId="8" fontId="61" fillId="0" borderId="0" xfId="0" applyNumberFormat="1" applyFont="1"/>
    <xf numFmtId="44" fontId="62" fillId="21" borderId="24" xfId="8" applyNumberFormat="1" applyFont="1" applyFill="1" applyBorder="1" applyAlignment="1">
      <alignment horizontal="right" vertical="center"/>
    </xf>
    <xf numFmtId="44" fontId="62" fillId="21" borderId="24" xfId="8" applyNumberFormat="1" applyFont="1" applyFill="1" applyBorder="1" applyAlignment="1">
      <alignment horizontal="center" vertical="center"/>
    </xf>
    <xf numFmtId="168" fontId="62" fillId="21" borderId="24" xfId="9" applyNumberFormat="1" applyFont="1" applyFill="1" applyBorder="1" applyAlignment="1">
      <alignment horizontal="right" vertical="center"/>
    </xf>
    <xf numFmtId="0" fontId="62" fillId="21" borderId="24" xfId="7" applyFont="1" applyFill="1" applyBorder="1">
      <alignment horizontal="left" vertical="center" wrapText="1" indent="1"/>
    </xf>
    <xf numFmtId="0" fontId="63" fillId="21" borderId="24" xfId="7" applyFont="1" applyFill="1" applyBorder="1">
      <alignment horizontal="left" vertical="center" wrapText="1" indent="1"/>
    </xf>
    <xf numFmtId="44" fontId="62" fillId="0" borderId="24" xfId="8" applyNumberFormat="1" applyFont="1" applyFill="1" applyBorder="1" applyAlignment="1">
      <alignment horizontal="right" vertical="center"/>
    </xf>
    <xf numFmtId="44" fontId="62" fillId="0" borderId="24" xfId="8" applyNumberFormat="1" applyFont="1" applyFill="1" applyBorder="1" applyAlignment="1">
      <alignment horizontal="center" vertical="center"/>
    </xf>
    <xf numFmtId="168" fontId="62" fillId="0" borderId="24" xfId="9" applyNumberFormat="1" applyFont="1" applyFill="1" applyBorder="1" applyAlignment="1">
      <alignment horizontal="right" vertical="center"/>
    </xf>
    <xf numFmtId="0" fontId="62" fillId="0" borderId="24" xfId="7" applyFont="1" applyFill="1" applyBorder="1">
      <alignment horizontal="left" vertical="center" wrapText="1" indent="1"/>
    </xf>
    <xf numFmtId="0" fontId="64" fillId="21" borderId="24" xfId="7" applyFont="1" applyFill="1" applyBorder="1">
      <alignment horizontal="left" vertical="center" wrapText="1" indent="1"/>
    </xf>
    <xf numFmtId="6" fontId="62" fillId="0" borderId="24" xfId="8" applyNumberFormat="1" applyFont="1" applyFill="1" applyBorder="1" applyAlignment="1">
      <alignment horizontal="right" vertical="center"/>
    </xf>
    <xf numFmtId="0" fontId="64" fillId="0" borderId="24" xfId="7" applyFont="1" applyFill="1" applyBorder="1">
      <alignment horizontal="left" vertical="center" wrapText="1" indent="1"/>
    </xf>
    <xf numFmtId="6" fontId="62" fillId="21" borderId="24" xfId="8" applyNumberFormat="1" applyFont="1" applyFill="1" applyBorder="1" applyAlignment="1">
      <alignment horizontal="right" vertical="center"/>
    </xf>
    <xf numFmtId="44" fontId="0" fillId="0" borderId="0" xfId="8" applyFont="1">
      <alignment horizontal="right" vertical="center"/>
    </xf>
    <xf numFmtId="168" fontId="0" fillId="0" borderId="0" xfId="9" applyFont="1" applyFill="1">
      <alignment horizontal="right" vertical="center"/>
    </xf>
    <xf numFmtId="0" fontId="49" fillId="0" borderId="0" xfId="7" applyFont="1" applyFill="1">
      <alignment horizontal="left" vertical="center" wrapText="1" indent="1"/>
    </xf>
    <xf numFmtId="0" fontId="58" fillId="0" borderId="0" xfId="7" applyFont="1">
      <alignment horizontal="left" vertical="center" wrapText="1" indent="1"/>
    </xf>
    <xf numFmtId="0" fontId="58" fillId="0" borderId="0" xfId="7" applyFont="1" applyFill="1" applyBorder="1">
      <alignment horizontal="left" vertical="center" wrapText="1" indent="1"/>
    </xf>
    <xf numFmtId="168" fontId="65" fillId="0" borderId="0" xfId="9" applyFont="1" applyFill="1" applyBorder="1" applyAlignment="1">
      <alignment horizontal="center" vertical="center"/>
    </xf>
    <xf numFmtId="0" fontId="66" fillId="0" borderId="0" xfId="7" applyFont="1" applyFill="1" applyBorder="1">
      <alignment horizontal="left" vertical="center" wrapText="1" indent="1"/>
    </xf>
    <xf numFmtId="0" fontId="50" fillId="0" borderId="0" xfId="7" applyFont="1">
      <alignment horizontal="left" vertical="center" wrapText="1" indent="1"/>
    </xf>
    <xf numFmtId="168" fontId="50" fillId="0" borderId="0" xfId="9" applyFont="1" applyFill="1">
      <alignment horizontal="right" vertical="center"/>
    </xf>
    <xf numFmtId="0" fontId="52" fillId="0" borderId="0" xfId="7" applyFont="1" applyFill="1">
      <alignment horizontal="left" vertical="center" wrapText="1" indent="1"/>
    </xf>
    <xf numFmtId="0" fontId="52" fillId="0" borderId="0" xfId="7" applyFont="1">
      <alignment horizontal="left" vertical="center" wrapText="1" indent="1"/>
    </xf>
    <xf numFmtId="44" fontId="50" fillId="0" borderId="0" xfId="8" applyFont="1" applyFill="1" applyBorder="1" applyAlignment="1" applyProtection="1">
      <alignment horizontal="center" vertical="center"/>
    </xf>
    <xf numFmtId="168" fontId="50" fillId="0" borderId="0" xfId="9" applyFont="1" applyFill="1" applyBorder="1">
      <alignment horizontal="right" vertical="center"/>
    </xf>
    <xf numFmtId="168" fontId="68" fillId="0" borderId="0" xfId="9" applyFont="1" applyFill="1" applyBorder="1" applyAlignment="1">
      <alignment horizontal="center" vertical="center"/>
    </xf>
    <xf numFmtId="168" fontId="69" fillId="0" borderId="0" xfId="9" applyFont="1" applyFill="1" applyBorder="1" applyAlignment="1">
      <alignment horizontal="center" vertical="center"/>
    </xf>
    <xf numFmtId="0" fontId="70" fillId="0" borderId="0" xfId="7" applyFont="1" applyFill="1" applyBorder="1">
      <alignment horizontal="left" vertical="center" wrapText="1" indent="1"/>
    </xf>
    <xf numFmtId="0" fontId="57" fillId="0" borderId="0" xfId="7" applyFont="1" applyFill="1" applyBorder="1">
      <alignment horizontal="left" vertical="center" wrapText="1" indent="1"/>
    </xf>
    <xf numFmtId="0" fontId="0" fillId="22" borderId="0" xfId="0" applyFill="1"/>
    <xf numFmtId="0" fontId="0" fillId="2" borderId="0" xfId="0" applyFill="1" applyAlignment="1">
      <alignment horizontal="center"/>
    </xf>
    <xf numFmtId="44" fontId="51" fillId="0" borderId="0" xfId="12" applyFont="1" applyAlignment="1" applyProtection="1">
      <alignment vertical="center"/>
    </xf>
    <xf numFmtId="0" fontId="72" fillId="0" borderId="0" xfId="7" applyFont="1" applyAlignment="1" applyProtection="1">
      <alignment vertical="center"/>
    </xf>
    <xf numFmtId="0" fontId="0" fillId="4" borderId="26" xfId="0" applyFill="1" applyBorder="1"/>
    <xf numFmtId="0" fontId="0" fillId="4" borderId="25" xfId="0" applyFill="1" applyBorder="1"/>
    <xf numFmtId="0" fontId="21" fillId="10" borderId="26" xfId="0" applyFont="1" applyFill="1" applyBorder="1"/>
    <xf numFmtId="0" fontId="21" fillId="10" borderId="25" xfId="0" applyFont="1" applyFill="1" applyBorder="1"/>
    <xf numFmtId="6" fontId="0" fillId="10" borderId="26" xfId="0" applyNumberFormat="1" applyFill="1" applyBorder="1"/>
    <xf numFmtId="0" fontId="0" fillId="10" borderId="25" xfId="0" applyFill="1" applyBorder="1"/>
    <xf numFmtId="6" fontId="0" fillId="4" borderId="26" xfId="0" applyNumberFormat="1" applyFill="1" applyBorder="1"/>
    <xf numFmtId="0" fontId="0" fillId="10" borderId="26" xfId="0" applyFill="1" applyBorder="1"/>
    <xf numFmtId="0" fontId="13" fillId="10" borderId="25" xfId="0" applyFont="1" applyFill="1" applyBorder="1"/>
    <xf numFmtId="0" fontId="21" fillId="4" borderId="25" xfId="0" applyFont="1" applyFill="1" applyBorder="1"/>
    <xf numFmtId="3" fontId="0" fillId="4" borderId="26" xfId="0" applyNumberFormat="1" applyFill="1" applyBorder="1"/>
    <xf numFmtId="0" fontId="13" fillId="4" borderId="25" xfId="0" applyFont="1" applyFill="1" applyBorder="1"/>
    <xf numFmtId="16" fontId="0" fillId="0" borderId="0" xfId="0" applyNumberFormat="1"/>
    <xf numFmtId="167" fontId="0" fillId="0" borderId="0" xfId="0" applyNumberFormat="1"/>
    <xf numFmtId="0" fontId="74" fillId="23" borderId="0" xfId="13"/>
    <xf numFmtId="0" fontId="75" fillId="23" borderId="0" xfId="13" applyFont="1"/>
    <xf numFmtId="165" fontId="0" fillId="0" borderId="0" xfId="0" applyNumberFormat="1" applyAlignment="1">
      <alignment horizontal="center" wrapText="1"/>
    </xf>
    <xf numFmtId="0" fontId="76" fillId="0" borderId="0" xfId="10" applyFont="1" applyFill="1" applyBorder="1">
      <alignment horizontal="left" vertical="center" indent="1"/>
    </xf>
    <xf numFmtId="0" fontId="77" fillId="0" borderId="0" xfId="10" applyFont="1" applyFill="1" applyBorder="1">
      <alignment horizontal="left" vertical="center" indent="1"/>
    </xf>
    <xf numFmtId="168" fontId="77" fillId="0" borderId="0" xfId="9" applyFont="1" applyFill="1" applyBorder="1">
      <alignment horizontal="right" vertical="center"/>
    </xf>
    <xf numFmtId="0" fontId="78" fillId="0" borderId="0" xfId="10" applyFont="1" applyFill="1" applyBorder="1" applyAlignment="1">
      <alignment horizontal="center" vertical="center"/>
    </xf>
    <xf numFmtId="0" fontId="50" fillId="0" borderId="0" xfId="10" applyFont="1" applyFill="1" applyBorder="1">
      <alignment horizontal="left" vertical="center" indent="1"/>
    </xf>
    <xf numFmtId="0" fontId="49" fillId="0" borderId="0" xfId="10" applyFont="1" applyFill="1" applyBorder="1">
      <alignment horizontal="left" vertical="center" indent="1"/>
    </xf>
    <xf numFmtId="168" fontId="49" fillId="0" borderId="0" xfId="9" applyFont="1" applyFill="1" applyBorder="1">
      <alignment horizontal="right" vertical="center"/>
    </xf>
    <xf numFmtId="0" fontId="26" fillId="10" borderId="17" xfId="0" applyFont="1" applyFill="1" applyBorder="1"/>
    <xf numFmtId="0" fontId="19" fillId="4" borderId="17" xfId="0" applyFont="1" applyFill="1" applyBorder="1"/>
    <xf numFmtId="0" fontId="0" fillId="10" borderId="17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32" fillId="4" borderId="17" xfId="0" applyFont="1" applyFill="1" applyBorder="1"/>
    <xf numFmtId="0" fontId="32" fillId="10" borderId="17" xfId="0" applyFont="1" applyFill="1" applyBorder="1"/>
    <xf numFmtId="164" fontId="0" fillId="0" borderId="0" xfId="0" applyNumberFormat="1"/>
    <xf numFmtId="0" fontId="0" fillId="4" borderId="0" xfId="0" applyNumberFormat="1" applyFill="1"/>
    <xf numFmtId="164" fontId="0" fillId="13" borderId="18" xfId="3" applyNumberFormat="1" applyFont="1"/>
    <xf numFmtId="0" fontId="0" fillId="10" borderId="0" xfId="0" applyFill="1" applyBorder="1"/>
    <xf numFmtId="0" fontId="10" fillId="4" borderId="0" xfId="0" applyFont="1" applyFill="1" applyBorder="1"/>
    <xf numFmtId="0" fontId="35" fillId="4" borderId="27" xfId="0" applyFont="1" applyFill="1" applyBorder="1"/>
    <xf numFmtId="0" fontId="36" fillId="4" borderId="27" xfId="0" applyFont="1" applyFill="1" applyBorder="1"/>
    <xf numFmtId="0" fontId="0" fillId="4" borderId="30" xfId="0" applyFill="1" applyBorder="1"/>
    <xf numFmtId="8" fontId="9" fillId="4" borderId="17" xfId="2" applyNumberFormat="1" applyFill="1" applyBorder="1"/>
    <xf numFmtId="0" fontId="19" fillId="2" borderId="17" xfId="0" applyFont="1" applyFill="1" applyBorder="1"/>
    <xf numFmtId="0" fontId="32" fillId="2" borderId="17" xfId="0" applyFont="1" applyFill="1" applyBorder="1"/>
    <xf numFmtId="0" fontId="7" fillId="0" borderId="0" xfId="0" applyFont="1" applyAlignment="1">
      <alignment horizontal="center"/>
    </xf>
    <xf numFmtId="8" fontId="0" fillId="4" borderId="26" xfId="0" applyNumberFormat="1" applyFill="1" applyBorder="1"/>
    <xf numFmtId="0" fontId="0" fillId="4" borderId="33" xfId="0" applyFill="1" applyBorder="1"/>
    <xf numFmtId="8" fontId="0" fillId="4" borderId="33" xfId="0" applyNumberFormat="1" applyFill="1" applyBorder="1"/>
    <xf numFmtId="9" fontId="0" fillId="4" borderId="33" xfId="0" applyNumberFormat="1" applyFill="1" applyBorder="1"/>
    <xf numFmtId="6" fontId="0" fillId="4" borderId="33" xfId="0" applyNumberFormat="1" applyFill="1" applyBorder="1"/>
    <xf numFmtId="0" fontId="7" fillId="4" borderId="26" xfId="0" applyFont="1" applyFill="1" applyBorder="1"/>
    <xf numFmtId="0" fontId="31" fillId="4" borderId="25" xfId="0" applyFont="1" applyFill="1" applyBorder="1"/>
    <xf numFmtId="6" fontId="0" fillId="4" borderId="37" xfId="0" applyNumberFormat="1" applyFill="1" applyBorder="1"/>
    <xf numFmtId="0" fontId="0" fillId="4" borderId="37" xfId="0" applyFill="1" applyBorder="1"/>
    <xf numFmtId="0" fontId="0" fillId="4" borderId="20" xfId="0" applyFill="1" applyBorder="1"/>
    <xf numFmtId="0" fontId="11" fillId="4" borderId="30" xfId="0" applyFont="1" applyFill="1" applyBorder="1"/>
    <xf numFmtId="0" fontId="31" fillId="4" borderId="0" xfId="0" applyFont="1" applyFill="1" applyBorder="1"/>
    <xf numFmtId="0" fontId="34" fillId="4" borderId="0" xfId="0" applyFont="1" applyFill="1" applyBorder="1"/>
    <xf numFmtId="0" fontId="13" fillId="4" borderId="0" xfId="0" applyFont="1" applyFill="1" applyBorder="1"/>
    <xf numFmtId="0" fontId="10" fillId="4" borderId="20" xfId="0" applyFont="1" applyFill="1" applyBorder="1"/>
    <xf numFmtId="0" fontId="31" fillId="4" borderId="22" xfId="0" applyFont="1" applyFill="1" applyBorder="1"/>
    <xf numFmtId="0" fontId="10" fillId="10" borderId="0" xfId="0" applyFont="1" applyFill="1"/>
    <xf numFmtId="0" fontId="31" fillId="10" borderId="34" xfId="0" applyFont="1" applyFill="1" applyBorder="1"/>
    <xf numFmtId="6" fontId="0" fillId="10" borderId="35" xfId="0" applyNumberFormat="1" applyFill="1" applyBorder="1"/>
    <xf numFmtId="0" fontId="7" fillId="10" borderId="26" xfId="0" applyFont="1" applyFill="1" applyBorder="1"/>
    <xf numFmtId="0" fontId="0" fillId="10" borderId="33" xfId="0" applyFill="1" applyBorder="1"/>
    <xf numFmtId="8" fontId="0" fillId="10" borderId="33" xfId="0" applyNumberFormat="1" applyFill="1" applyBorder="1"/>
    <xf numFmtId="9" fontId="0" fillId="10" borderId="33" xfId="0" applyNumberFormat="1" applyFill="1" applyBorder="1"/>
    <xf numFmtId="6" fontId="0" fillId="10" borderId="33" xfId="0" applyNumberFormat="1" applyFill="1" applyBorder="1"/>
    <xf numFmtId="8" fontId="0" fillId="10" borderId="26" xfId="0" applyNumberFormat="1" applyFill="1" applyBorder="1"/>
    <xf numFmtId="0" fontId="0" fillId="10" borderId="35" xfId="0" applyFill="1" applyBorder="1"/>
    <xf numFmtId="8" fontId="0" fillId="10" borderId="35" xfId="0" applyNumberFormat="1" applyFill="1" applyBorder="1"/>
    <xf numFmtId="9" fontId="0" fillId="10" borderId="35" xfId="0" applyNumberFormat="1" applyFill="1" applyBorder="1"/>
    <xf numFmtId="8" fontId="0" fillId="10" borderId="36" xfId="0" applyNumberFormat="1" applyFill="1" applyBorder="1"/>
    <xf numFmtId="0" fontId="10" fillId="10" borderId="28" xfId="0" applyFont="1" applyFill="1" applyBorder="1"/>
    <xf numFmtId="0" fontId="29" fillId="10" borderId="22" xfId="0" applyFont="1" applyFill="1" applyBorder="1"/>
    <xf numFmtId="0" fontId="4" fillId="10" borderId="0" xfId="0" applyFont="1" applyFill="1" applyBorder="1"/>
    <xf numFmtId="0" fontId="4" fillId="10" borderId="30" xfId="0" applyFont="1" applyFill="1" applyBorder="1"/>
    <xf numFmtId="0" fontId="0" fillId="10" borderId="20" xfId="0" applyFill="1" applyBorder="1"/>
    <xf numFmtId="0" fontId="7" fillId="10" borderId="37" xfId="0" applyFont="1" applyFill="1" applyBorder="1"/>
    <xf numFmtId="0" fontId="3" fillId="10" borderId="30" xfId="0" applyFont="1" applyFill="1" applyBorder="1"/>
    <xf numFmtId="9" fontId="21" fillId="4" borderId="0" xfId="0" applyNumberFormat="1" applyFont="1" applyFill="1"/>
    <xf numFmtId="0" fontId="29" fillId="4" borderId="0" xfId="0" applyFont="1" applyFill="1" applyBorder="1"/>
    <xf numFmtId="6" fontId="0" fillId="13" borderId="18" xfId="3" applyNumberFormat="1" applyFont="1"/>
    <xf numFmtId="0" fontId="10" fillId="4" borderId="25" xfId="0" applyFont="1" applyFill="1" applyBorder="1"/>
    <xf numFmtId="0" fontId="29" fillId="10" borderId="20" xfId="0" applyFont="1" applyFill="1" applyBorder="1"/>
    <xf numFmtId="0" fontId="4" fillId="10" borderId="37" xfId="0" applyFont="1" applyFill="1" applyBorder="1"/>
    <xf numFmtId="0" fontId="31" fillId="10" borderId="25" xfId="0" applyFont="1" applyFill="1" applyBorder="1"/>
    <xf numFmtId="0" fontId="29" fillId="10" borderId="29" xfId="0" applyFont="1" applyFill="1" applyBorder="1"/>
    <xf numFmtId="0" fontId="0" fillId="10" borderId="31" xfId="0" applyFill="1" applyBorder="1"/>
    <xf numFmtId="0" fontId="0" fillId="10" borderId="32" xfId="0" applyFill="1" applyBorder="1"/>
    <xf numFmtId="0" fontId="0" fillId="10" borderId="38" xfId="0" applyFill="1" applyBorder="1"/>
    <xf numFmtId="0" fontId="36" fillId="4" borderId="0" xfId="0" applyFont="1" applyFill="1" applyBorder="1"/>
    <xf numFmtId="0" fontId="12" fillId="10" borderId="17" xfId="0" applyFont="1" applyFill="1" applyBorder="1"/>
    <xf numFmtId="0" fontId="0" fillId="10" borderId="39" xfId="0" applyFill="1" applyBorder="1"/>
    <xf numFmtId="0" fontId="12" fillId="10" borderId="17" xfId="0" applyFont="1" applyFill="1" applyBorder="1" applyAlignment="1">
      <alignment horizontal="center"/>
    </xf>
    <xf numFmtId="7" fontId="16" fillId="10" borderId="17" xfId="0" applyNumberFormat="1" applyFont="1" applyFill="1" applyBorder="1"/>
    <xf numFmtId="7" fontId="0" fillId="4" borderId="17" xfId="0" applyNumberFormat="1" applyFill="1" applyBorder="1" applyAlignment="1">
      <alignment wrapText="1"/>
    </xf>
    <xf numFmtId="7" fontId="0" fillId="10" borderId="17" xfId="0" applyNumberFormat="1" applyFill="1" applyBorder="1" applyAlignment="1">
      <alignment wrapText="1"/>
    </xf>
    <xf numFmtId="7" fontId="0" fillId="13" borderId="18" xfId="3" applyNumberFormat="1" applyFont="1" applyAlignment="1">
      <alignment horizontal="center"/>
    </xf>
    <xf numFmtId="0" fontId="32" fillId="4" borderId="0" xfId="0" applyFont="1" applyFill="1" applyAlignment="1">
      <alignment horizontal="center"/>
    </xf>
    <xf numFmtId="0" fontId="79" fillId="0" borderId="0" xfId="7" applyFont="1">
      <alignment horizontal="left" vertical="center" wrapText="1" indent="1"/>
    </xf>
    <xf numFmtId="0" fontId="80" fillId="0" borderId="0" xfId="7" applyFont="1" applyFill="1">
      <alignment horizontal="left" vertical="center" wrapText="1" indent="1"/>
    </xf>
    <xf numFmtId="168" fontId="80" fillId="0" borderId="0" xfId="9" applyFont="1" applyFill="1">
      <alignment horizontal="right" vertical="center"/>
    </xf>
    <xf numFmtId="44" fontId="49" fillId="0" borderId="0" xfId="12" applyFont="1" applyAlignment="1">
      <alignment horizontal="left" vertical="center" wrapText="1" indent="1"/>
    </xf>
    <xf numFmtId="44" fontId="81" fillId="0" borderId="0" xfId="0" applyNumberFormat="1" applyFont="1"/>
    <xf numFmtId="0" fontId="81" fillId="0" borderId="0" xfId="0" applyFont="1"/>
    <xf numFmtId="44" fontId="61" fillId="0" borderId="0" xfId="0" applyNumberFormat="1" applyFont="1"/>
    <xf numFmtId="44" fontId="82" fillId="0" borderId="0" xfId="0" applyNumberFormat="1" applyFont="1"/>
    <xf numFmtId="44" fontId="43" fillId="0" borderId="0" xfId="0" applyNumberFormat="1" applyFont="1"/>
    <xf numFmtId="44" fontId="40" fillId="0" borderId="0" xfId="0" applyNumberFormat="1" applyFont="1"/>
    <xf numFmtId="44" fontId="83" fillId="0" borderId="0" xfId="0" applyNumberFormat="1" applyFont="1"/>
    <xf numFmtId="44" fontId="84" fillId="0" borderId="0" xfId="0" applyNumberFormat="1" applyFont="1"/>
    <xf numFmtId="5" fontId="85" fillId="0" borderId="0" xfId="0" applyNumberFormat="1" applyFont="1"/>
    <xf numFmtId="7" fontId="0" fillId="10" borderId="25" xfId="0" applyNumberFormat="1" applyFill="1" applyBorder="1" applyAlignment="1">
      <alignment horizontal="center"/>
    </xf>
    <xf numFmtId="7" fontId="0" fillId="10" borderId="26" xfId="0" applyNumberFormat="1" applyFill="1" applyBorder="1" applyAlignment="1">
      <alignment horizontal="center"/>
    </xf>
    <xf numFmtId="7" fontId="0" fillId="4" borderId="28" xfId="0" applyNumberFormat="1" applyFill="1" applyBorder="1" applyAlignment="1">
      <alignment horizontal="center"/>
    </xf>
    <xf numFmtId="7" fontId="0" fillId="4" borderId="17" xfId="3" applyNumberFormat="1" applyFont="1" applyFill="1" applyBorder="1" applyAlignment="1">
      <alignment horizontal="center"/>
    </xf>
    <xf numFmtId="7" fontId="0" fillId="13" borderId="17" xfId="3" applyNumberFormat="1" applyFont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7" fontId="0" fillId="4" borderId="0" xfId="0" applyNumberFormat="1" applyFill="1" applyBorder="1" applyAlignment="1">
      <alignment horizontal="center"/>
    </xf>
    <xf numFmtId="7" fontId="0" fillId="4" borderId="0" xfId="0" applyNumberFormat="1" applyFill="1" applyBorder="1"/>
    <xf numFmtId="0" fontId="20" fillId="10" borderId="25" xfId="0" applyFont="1" applyFill="1" applyBorder="1"/>
    <xf numFmtId="8" fontId="14" fillId="13" borderId="18" xfId="3" applyNumberFormat="1" applyFont="1"/>
    <xf numFmtId="8" fontId="30" fillId="13" borderId="18" xfId="3" applyNumberFormat="1" applyFont="1"/>
    <xf numFmtId="7" fontId="30" fillId="13" borderId="18" xfId="3" applyNumberFormat="1" applyFont="1"/>
    <xf numFmtId="7" fontId="0" fillId="13" borderId="17" xfId="3" applyNumberFormat="1" applyFont="1" applyBorder="1"/>
    <xf numFmtId="0" fontId="0" fillId="4" borderId="17" xfId="0" applyFill="1" applyBorder="1" applyAlignment="1">
      <alignment horizontal="center"/>
    </xf>
    <xf numFmtId="3" fontId="26" fillId="4" borderId="17" xfId="0" applyNumberFormat="1" applyFont="1" applyFill="1" applyBorder="1"/>
    <xf numFmtId="0" fontId="26" fillId="4" borderId="17" xfId="0" applyFont="1" applyFill="1" applyBorder="1"/>
    <xf numFmtId="44" fontId="0" fillId="4" borderId="17" xfId="0" applyNumberFormat="1" applyFill="1" applyBorder="1"/>
    <xf numFmtId="0" fontId="23" fillId="4" borderId="17" xfId="0" applyFont="1" applyFill="1" applyBorder="1"/>
    <xf numFmtId="0" fontId="45" fillId="4" borderId="0" xfId="0" applyFont="1" applyFill="1"/>
    <xf numFmtId="3" fontId="26" fillId="10" borderId="17" xfId="0" applyNumberFormat="1" applyFont="1" applyFill="1" applyBorder="1"/>
    <xf numFmtId="44" fontId="0" fillId="10" borderId="17" xfId="0" applyNumberFormat="1" applyFill="1" applyBorder="1"/>
    <xf numFmtId="0" fontId="73" fillId="10" borderId="17" xfId="0" applyFont="1" applyFill="1" applyBorder="1"/>
    <xf numFmtId="8" fontId="26" fillId="4" borderId="17" xfId="0" applyNumberFormat="1" applyFont="1" applyFill="1" applyBorder="1"/>
    <xf numFmtId="6" fontId="0" fillId="13" borderId="18" xfId="3" applyNumberFormat="1" applyFont="1" applyAlignment="1">
      <alignment horizontal="left"/>
    </xf>
    <xf numFmtId="165" fontId="0" fillId="13" borderId="18" xfId="3" applyNumberFormat="1" applyFont="1"/>
    <xf numFmtId="165" fontId="0" fillId="13" borderId="18" xfId="3" applyNumberFormat="1" applyFont="1" applyAlignment="1">
      <alignment horizontal="center"/>
    </xf>
    <xf numFmtId="5" fontId="42" fillId="0" borderId="0" xfId="0" applyNumberFormat="1" applyFont="1"/>
    <xf numFmtId="7" fontId="0" fillId="24" borderId="0" xfId="0" applyNumberFormat="1" applyFill="1"/>
    <xf numFmtId="0" fontId="21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4" borderId="17" xfId="0" applyFill="1" applyBorder="1" applyAlignment="1">
      <alignment horizontal="right"/>
    </xf>
    <xf numFmtId="0" fontId="2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21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</cellXfs>
  <cellStyles count="14">
    <cellStyle name="Bad" xfId="5" builtinId="27"/>
    <cellStyle name="Currency" xfId="12" builtinId="4"/>
    <cellStyle name="Currency 2" xfId="8"/>
    <cellStyle name="Good" xfId="4" builtinId="26"/>
    <cellStyle name="Heading 2 2" xfId="10"/>
    <cellStyle name="Input" xfId="6" builtinId="20"/>
    <cellStyle name="Linked Cell" xfId="2" builtinId="24"/>
    <cellStyle name="Neutral" xfId="13" builtinId="28"/>
    <cellStyle name="Normal" xfId="0" builtinId="0"/>
    <cellStyle name="Normal 2" xfId="7"/>
    <cellStyle name="Note" xfId="3" builtinId="10"/>
    <cellStyle name="Percent" xfId="1" builtinId="5"/>
    <cellStyle name="Quantity" xfId="9"/>
    <cellStyle name="Title 2" xfId="11"/>
  </cellStyles>
  <dxfs count="2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</font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</font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theme="2" tint="-0.749961851863155"/>
        <name val="Calibri"/>
        <scheme val="minor"/>
      </font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0" defaultTableStyle="TableStyleMedium2" defaultPivotStyle="PivotStyleLight16">
    <tableStyle name="Invoice" pivot="0" count="6">
      <tableStyleElement type="wholeTable" dxfId="249"/>
      <tableStyleElement type="headerRow" dxfId="248"/>
      <tableStyleElement type="totalRow" dxfId="247"/>
      <tableStyleElement type="lastColumn" dxfId="246"/>
      <tableStyleElement type="firstRowStripe" dxfId="245"/>
      <tableStyleElement type="secondRowStripe" dxfId="244"/>
    </tableStyle>
    <tableStyle name="Invoice 10" pivot="0" count="6">
      <tableStyleElement type="wholeTable" dxfId="243"/>
      <tableStyleElement type="headerRow" dxfId="242"/>
      <tableStyleElement type="totalRow" dxfId="241"/>
      <tableStyleElement type="lastColumn" dxfId="240"/>
      <tableStyleElement type="firstRowStripe" dxfId="239"/>
      <tableStyleElement type="secondRowStripe" dxfId="238"/>
    </tableStyle>
    <tableStyle name="Invoice 2" pivot="0" count="6">
      <tableStyleElement type="wholeTable" dxfId="237"/>
      <tableStyleElement type="headerRow" dxfId="236"/>
      <tableStyleElement type="totalRow" dxfId="235"/>
      <tableStyleElement type="lastColumn" dxfId="234"/>
      <tableStyleElement type="firstRowStripe" dxfId="233"/>
      <tableStyleElement type="secondRowStripe" dxfId="232"/>
    </tableStyle>
    <tableStyle name="Invoice 3" pivot="0" count="6">
      <tableStyleElement type="wholeTable" dxfId="231"/>
      <tableStyleElement type="headerRow" dxfId="230"/>
      <tableStyleElement type="totalRow" dxfId="229"/>
      <tableStyleElement type="lastColumn" dxfId="228"/>
      <tableStyleElement type="firstRowStripe" dxfId="227"/>
      <tableStyleElement type="secondRowStripe" dxfId="226"/>
    </tableStyle>
    <tableStyle name="Invoice 4" pivot="0" count="6">
      <tableStyleElement type="wholeTable" dxfId="225"/>
      <tableStyleElement type="headerRow" dxfId="224"/>
      <tableStyleElement type="totalRow" dxfId="223"/>
      <tableStyleElement type="lastColumn" dxfId="222"/>
      <tableStyleElement type="firstRowStripe" dxfId="221"/>
      <tableStyleElement type="secondRowStripe" dxfId="220"/>
    </tableStyle>
    <tableStyle name="Invoice 5" pivot="0" count="6">
      <tableStyleElement type="wholeTable" dxfId="219"/>
      <tableStyleElement type="headerRow" dxfId="218"/>
      <tableStyleElement type="totalRow" dxfId="217"/>
      <tableStyleElement type="lastColumn" dxfId="216"/>
      <tableStyleElement type="firstRowStripe" dxfId="215"/>
      <tableStyleElement type="secondRowStripe" dxfId="214"/>
    </tableStyle>
    <tableStyle name="Invoice 6" pivot="0" count="6">
      <tableStyleElement type="wholeTable" dxfId="213"/>
      <tableStyleElement type="headerRow" dxfId="212"/>
      <tableStyleElement type="totalRow" dxfId="211"/>
      <tableStyleElement type="lastColumn" dxfId="210"/>
      <tableStyleElement type="firstRowStripe" dxfId="209"/>
      <tableStyleElement type="secondRowStripe" dxfId="208"/>
    </tableStyle>
    <tableStyle name="Invoice 7" pivot="0" count="6">
      <tableStyleElement type="wholeTable" dxfId="207"/>
      <tableStyleElement type="headerRow" dxfId="206"/>
      <tableStyleElement type="totalRow" dxfId="205"/>
      <tableStyleElement type="lastColumn" dxfId="204"/>
      <tableStyleElement type="firstRowStripe" dxfId="203"/>
      <tableStyleElement type="secondRowStripe" dxfId="202"/>
    </tableStyle>
    <tableStyle name="Invoice 8" pivot="0" count="6">
      <tableStyleElement type="wholeTable" dxfId="201"/>
      <tableStyleElement type="headerRow" dxfId="200"/>
      <tableStyleElement type="totalRow" dxfId="199"/>
      <tableStyleElement type="lastColumn" dxfId="198"/>
      <tableStyleElement type="firstRowStripe" dxfId="197"/>
      <tableStyleElement type="secondRowStripe" dxfId="196"/>
    </tableStyle>
    <tableStyle name="Invoice 9" pivot="0" count="6">
      <tableStyleElement type="wholeTable" dxfId="195"/>
      <tableStyleElement type="headerRow" dxfId="194"/>
      <tableStyleElement type="totalRow" dxfId="193"/>
      <tableStyleElement type="lastColumn" dxfId="192"/>
      <tableStyleElement type="firstRowStripe" dxfId="191"/>
      <tableStyleElement type="secondRowStripe" dxfId="190"/>
    </tableStyle>
  </tableStyles>
  <colors>
    <mruColors>
      <color rgb="FFFF5050"/>
      <color rgb="FFB02EAA"/>
      <color rgb="FFECB6E9"/>
      <color rgb="FFEFA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5686360204801821"/>
          <c:y val="0.219931033437742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7.6210761395269749E-2"/>
          <c:w val="0.93888888888888888"/>
          <c:h val="0.66387161692440344"/>
        </c:manualLayout>
      </c:layout>
      <c:pie3DChart>
        <c:varyColors val="1"/>
        <c:ser>
          <c:idx val="0"/>
          <c:order val="0"/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91-4A35-BD61-9488B3AA0773}"/>
              </c:ext>
            </c:extLst>
          </c:dPt>
          <c:cat>
            <c:numRef>
              <c:f>Summary!$T$3</c:f>
              <c:numCache>
                <c:formatCode>General</c:formatCode>
                <c:ptCount val="1"/>
              </c:numCache>
            </c:numRef>
          </c:cat>
          <c:val>
            <c:numRef>
              <c:f>Summary!$T$4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10-4141-9307-D552CF8E1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Sanitation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A-4F94-8315-5101179462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A-4F94-8315-5101179462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A-4F94-8315-51011794621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Revenue!$B$50:$B$52</c:f>
              <c:strCache>
                <c:ptCount val="3"/>
                <c:pt idx="0">
                  <c:v>Service Charges</c:v>
                </c:pt>
                <c:pt idx="1">
                  <c:v>Property Taxes</c:v>
                </c:pt>
                <c:pt idx="2">
                  <c:v>Solid Waste Franchise Fee</c:v>
                </c:pt>
              </c:strCache>
            </c:strRef>
          </c:cat>
          <c:val>
            <c:numRef>
              <c:f>Revenue!$C$50:$C$52</c:f>
              <c:numCache>
                <c:formatCode>"$"#,##0.00_);\("$"#,##0.00\)</c:formatCode>
                <c:ptCount val="3"/>
                <c:pt idx="0">
                  <c:v>585821.5</c:v>
                </c:pt>
                <c:pt idx="1">
                  <c:v>58948.07</c:v>
                </c:pt>
                <c:pt idx="2">
                  <c:v>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BD-4448-AE14-614635028F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26-466E-A2F5-2453A02326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926-466E-A2F5-2453A02326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C3C-43BD-BCAB-B0BA8D0D6AA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Revenue!$B$7:$B$9</c:f>
              <c:strCache>
                <c:ptCount val="3"/>
                <c:pt idx="0">
                  <c:v>Service Charges</c:v>
                </c:pt>
                <c:pt idx="1">
                  <c:v>Property Taxes</c:v>
                </c:pt>
                <c:pt idx="2">
                  <c:v>Total other income</c:v>
                </c:pt>
              </c:strCache>
            </c:strRef>
          </c:cat>
          <c:val>
            <c:numRef>
              <c:f>Revenue!$C$7:$C$9</c:f>
              <c:numCache>
                <c:formatCode>"$"#,##0.00_);\("$"#,##0.00\)</c:formatCode>
                <c:ptCount val="3"/>
                <c:pt idx="0">
                  <c:v>560592</c:v>
                </c:pt>
                <c:pt idx="1">
                  <c:v>66700</c:v>
                </c:pt>
                <c:pt idx="2">
                  <c:v>4675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26-466E-A2F5-2453A02326B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Revenue!$C$91:$C$93</c:f>
              <c:strCache>
                <c:ptCount val="3"/>
                <c:pt idx="0">
                  <c:v>                                                        Fire 400         </c:v>
                </c:pt>
                <c:pt idx="2">
                  <c:v>Total Revenue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05B-4E3C-8D7B-2B3D490388C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05B-4E3C-8D7B-2B3D490388C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05B-4E3C-8D7B-2B3D490388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Revenue!$A$94:$B$96</c:f>
              <c:multiLvlStrCache>
                <c:ptCount val="3"/>
                <c:lvl>
                  <c:pt idx="0">
                    <c:v>Property Taxes</c:v>
                  </c:pt>
                  <c:pt idx="1">
                    <c:v>Special Assessments</c:v>
                  </c:pt>
                  <c:pt idx="2">
                    <c:v>Total Revenue</c:v>
                  </c:pt>
                </c:lvl>
                <c:lvl>
                  <c:pt idx="0">
                    <c:v>40700</c:v>
                  </c:pt>
                </c:lvl>
              </c:multiLvlStrCache>
            </c:multiLvlStrRef>
          </c:cat>
          <c:val>
            <c:numRef>
              <c:f>Revenue!$C$94:$C$96</c:f>
              <c:numCache>
                <c:formatCode>"$"#,##0.00_);\("$"#,##0.00\)</c:formatCode>
                <c:ptCount val="3"/>
                <c:pt idx="0">
                  <c:v>168000</c:v>
                </c:pt>
                <c:pt idx="1">
                  <c:v>129000</c:v>
                </c:pt>
                <c:pt idx="2">
                  <c:v>297000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81-47D0-884B-A4287A75BDE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Ambulance Revenue "Insurance"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Revenue!$A$139:$B$139</c:f>
              <c:strCache>
                <c:ptCount val="2"/>
                <c:pt idx="0">
                  <c:v>46000</c:v>
                </c:pt>
                <c:pt idx="1">
                  <c:v>Ambulance Revenue "Insurance"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31F-4CC4-B21D-88EF8D81E61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Revenue!$C$136:$C$138</c:f>
              <c:strCache>
                <c:ptCount val="3"/>
                <c:pt idx="2">
                  <c:v>Total Revenue</c:v>
                </c:pt>
              </c:strCache>
            </c:strRef>
          </c:cat>
          <c:val>
            <c:numRef>
              <c:f>Revenue!$C$139</c:f>
              <c:numCache>
                <c:formatCode>"$"#,##0.00_);\("$"#,##0.00\)</c:formatCode>
                <c:ptCount val="1"/>
                <c:pt idx="0">
                  <c:v>248000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1F-4CC4-B21D-88EF8D81E61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0.35360014173205095"/>
          <c:w val="0.93888888888888888"/>
          <c:h val="0.64496534385529969"/>
        </c:manualLayout>
      </c:layout>
      <c:pie3DChart>
        <c:varyColors val="1"/>
        <c:ser>
          <c:idx val="0"/>
          <c:order val="0"/>
          <c:explosion val="12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D3-46AC-B27C-49D07089541A}"/>
              </c:ext>
            </c:extLst>
          </c:dPt>
          <c:val>
            <c:numRef>
              <c:f>'Operational Expense'!#REF!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FC-4B5B-AC96-5C008B6E944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'Operational Expense'!#REF!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'Operational Expense'!#REF!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791933508311461"/>
          <c:y val="0.78713829285751702"/>
          <c:w val="3.2954943132108484E-2"/>
          <c:h val="0.21286218362502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Expense</a:t>
            </a:r>
          </a:p>
          <a:p>
            <a:pPr>
              <a:defRPr/>
            </a:pPr>
            <a:r>
              <a:rPr lang="en-US" sz="1200"/>
              <a:t>200 Account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099926559088E-2"/>
          <c:y val="0.18593597205031645"/>
          <c:w val="0.58684120734908141"/>
          <c:h val="0.797150262065635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AD-48C9-921B-F93071905E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6AD-48C9-921B-F93071905E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6AD-48C9-921B-F93071905E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6AD-48C9-921B-F93071905E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6AD-48C9-921B-F93071905E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6AD-48C9-921B-F93071905E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6AD-48C9-921B-F93071905E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6AD-48C9-921B-F93071905E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6AD-48C9-921B-F93071905E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6AD-48C9-921B-F93071905E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6AD-48C9-921B-F93071905E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6AD-48C9-921B-F93071905E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6AD-48C9-921B-F93071905E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6AD-48C9-921B-F93071905E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6AD-48C9-921B-F93071905E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6AD-48C9-921B-F93071905E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6AD-48C9-921B-F93071905E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06AD-48C9-921B-F93071905E6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06AD-48C9-921B-F93071905E6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06AD-48C9-921B-F93071905E6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06AD-48C9-921B-F93071905E6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06AD-48C9-921B-F93071905E6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06AD-48C9-921B-F93071905E6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06AD-48C9-921B-F93071905E6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10B6-436A-9A32-0DE059CBAC94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'Operational Expense'!$B$6:$B$31</c:f>
              <c:strCache>
                <c:ptCount val="26"/>
                <c:pt idx="0">
                  <c:v>Wages </c:v>
                </c:pt>
                <c:pt idx="1">
                  <c:v>Overtime</c:v>
                </c:pt>
                <c:pt idx="2">
                  <c:v>Supplies</c:v>
                </c:pt>
                <c:pt idx="3">
                  <c:v>Repairs</c:v>
                </c:pt>
                <c:pt idx="4">
                  <c:v>Auto Expense</c:v>
                </c:pt>
                <c:pt idx="5">
                  <c:v>Equipment</c:v>
                </c:pt>
                <c:pt idx="6">
                  <c:v>Maintenance</c:v>
                </c:pt>
                <c:pt idx="7">
                  <c:v>Engineering</c:v>
                </c:pt>
                <c:pt idx="8">
                  <c:v>Utilities - All</c:v>
                </c:pt>
                <c:pt idx="9">
                  <c:v>Payroll Taxes</c:v>
                </c:pt>
                <c:pt idx="10">
                  <c:v>PERS Expense</c:v>
                </c:pt>
                <c:pt idx="11">
                  <c:v>PERS Retiree Health Expense</c:v>
                </c:pt>
                <c:pt idx="12">
                  <c:v>Employee  Benefits</c:v>
                </c:pt>
                <c:pt idx="14">
                  <c:v>Unemployment Taxes</c:v>
                </c:pt>
                <c:pt idx="15">
                  <c:v>Workers Compensation Ins.</c:v>
                </c:pt>
                <c:pt idx="16">
                  <c:v>Insurance</c:v>
                </c:pt>
                <c:pt idx="17">
                  <c:v>Office Expense</c:v>
                </c:pt>
                <c:pt idx="18">
                  <c:v>Postage</c:v>
                </c:pt>
                <c:pt idx="19">
                  <c:v>Legal Expense</c:v>
                </c:pt>
                <c:pt idx="20">
                  <c:v>Professional Services</c:v>
                </c:pt>
                <c:pt idx="21">
                  <c:v>Dues &amp; Fees</c:v>
                </c:pt>
                <c:pt idx="22">
                  <c:v>Training &amp; Travel</c:v>
                </c:pt>
                <c:pt idx="23">
                  <c:v>Other Expenses</c:v>
                </c:pt>
                <c:pt idx="24">
                  <c:v>Authorized Capital</c:v>
                </c:pt>
                <c:pt idx="25">
                  <c:v>Capital Reserves</c:v>
                </c:pt>
              </c:strCache>
            </c:strRef>
          </c:cat>
          <c:val>
            <c:numRef>
              <c:f>'Operational Expense'!$C$6:$C$31</c:f>
              <c:numCache>
                <c:formatCode>"$"#,##0.00_);\("$"#,##0.00\)</c:formatCode>
                <c:ptCount val="26"/>
                <c:pt idx="0">
                  <c:v>118108.53</c:v>
                </c:pt>
                <c:pt idx="1">
                  <c:v>4827.6899999999996</c:v>
                </c:pt>
                <c:pt idx="2">
                  <c:v>19000</c:v>
                </c:pt>
                <c:pt idx="3">
                  <c:v>46350</c:v>
                </c:pt>
                <c:pt idx="4">
                  <c:v>6955.5281999999997</c:v>
                </c:pt>
                <c:pt idx="5">
                  <c:v>816.6046</c:v>
                </c:pt>
                <c:pt idx="6">
                  <c:v>3234.7356</c:v>
                </c:pt>
                <c:pt idx="7">
                  <c:v>22660</c:v>
                </c:pt>
                <c:pt idx="8">
                  <c:v>110698.4152</c:v>
                </c:pt>
                <c:pt idx="9">
                  <c:v>7962.3900450000001</c:v>
                </c:pt>
                <c:pt idx="10">
                  <c:v>34520.036055999997</c:v>
                </c:pt>
                <c:pt idx="11">
                  <c:v>12989.82</c:v>
                </c:pt>
                <c:pt idx="12">
                  <c:v>26183.724000000002</c:v>
                </c:pt>
                <c:pt idx="14">
                  <c:v>1302</c:v>
                </c:pt>
                <c:pt idx="15">
                  <c:v>9239.5456147199984</c:v>
                </c:pt>
                <c:pt idx="16">
                  <c:v>10660.5</c:v>
                </c:pt>
                <c:pt idx="17">
                  <c:v>4571.4386999999997</c:v>
                </c:pt>
                <c:pt idx="18">
                  <c:v>2985.7743</c:v>
                </c:pt>
                <c:pt idx="19">
                  <c:v>2667.4940000000001</c:v>
                </c:pt>
                <c:pt idx="20">
                  <c:v>24192.025000000001</c:v>
                </c:pt>
                <c:pt idx="21">
                  <c:v>5366.4647999999997</c:v>
                </c:pt>
                <c:pt idx="22">
                  <c:v>3302</c:v>
                </c:pt>
                <c:pt idx="23">
                  <c:v>1.03</c:v>
                </c:pt>
                <c:pt idx="24">
                  <c:v>130001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67-49B2-ACFE-EAB31A4973A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Sanitation</a:t>
            </a:r>
            <a:r>
              <a:rPr lang="en-US" baseline="0"/>
              <a:t> Expense</a:t>
            </a:r>
            <a:endParaRPr lang="en-US"/>
          </a:p>
        </c:rich>
      </c:tx>
      <c:layout>
        <c:manualLayout>
          <c:xMode val="edge"/>
          <c:yMode val="edge"/>
          <c:x val="0.338902978940033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D1-45F0-A5D7-9287D4BC74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D1-45F0-A5D7-9287D4BC74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2D1-45F0-A5D7-9287D4BC74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2D1-45F0-A5D7-9287D4BC74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2D1-45F0-A5D7-9287D4BC74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2D1-45F0-A5D7-9287D4BC74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2D1-45F0-A5D7-9287D4BC74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2D1-45F0-A5D7-9287D4BC74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2D1-45F0-A5D7-9287D4BC746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2D1-45F0-A5D7-9287D4BC746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2D1-45F0-A5D7-9287D4BC746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2D1-45F0-A5D7-9287D4BC746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2D1-45F0-A5D7-9287D4BC7464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2D1-45F0-A5D7-9287D4BC7464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2D1-45F0-A5D7-9287D4BC7464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2D1-45F0-A5D7-9287D4BC7464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F05-4C28-B62C-2CF6B35BD49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AF05-4C28-B62C-2CF6B35BD49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'Operational Expense'!$B$75:$B$93</c:f>
              <c:strCache>
                <c:ptCount val="19"/>
                <c:pt idx="0">
                  <c:v>Wages </c:v>
                </c:pt>
                <c:pt idx="1">
                  <c:v>Over Time</c:v>
                </c:pt>
                <c:pt idx="2">
                  <c:v>Supplies</c:v>
                </c:pt>
                <c:pt idx="3">
                  <c:v>Repairs</c:v>
                </c:pt>
                <c:pt idx="4">
                  <c:v>Auto Expense</c:v>
                </c:pt>
                <c:pt idx="5">
                  <c:v>Equipment</c:v>
                </c:pt>
                <c:pt idx="6">
                  <c:v>Maintenance</c:v>
                </c:pt>
                <c:pt idx="7">
                  <c:v>Engineering</c:v>
                </c:pt>
                <c:pt idx="8">
                  <c:v>Utilities - All</c:v>
                </c:pt>
                <c:pt idx="9">
                  <c:v>PERS Expense</c:v>
                </c:pt>
                <c:pt idx="10">
                  <c:v>PERS Retiree Health Expense</c:v>
                </c:pt>
                <c:pt idx="11">
                  <c:v>Employee  Benefits</c:v>
                </c:pt>
                <c:pt idx="12">
                  <c:v>Legal Expense</c:v>
                </c:pt>
                <c:pt idx="13">
                  <c:v>Professional Services</c:v>
                </c:pt>
                <c:pt idx="14">
                  <c:v>Payroll Taxes</c:v>
                </c:pt>
                <c:pt idx="15">
                  <c:v>Unemployment Taxes</c:v>
                </c:pt>
                <c:pt idx="16">
                  <c:v>Workers Compensation Ins.</c:v>
                </c:pt>
                <c:pt idx="17">
                  <c:v>Insurance</c:v>
                </c:pt>
                <c:pt idx="18">
                  <c:v>Office Expense</c:v>
                </c:pt>
              </c:strCache>
            </c:strRef>
          </c:cat>
          <c:val>
            <c:numRef>
              <c:f>'Operational Expense'!$C$75:$C$93</c:f>
              <c:numCache>
                <c:formatCode>"$"#,##0.00_);\("$"#,##0.00\)</c:formatCode>
                <c:ptCount val="19"/>
                <c:pt idx="0">
                  <c:v>118108.53</c:v>
                </c:pt>
                <c:pt idx="1">
                  <c:v>2709.8099999999995</c:v>
                </c:pt>
                <c:pt idx="2">
                  <c:v>19053.393200000002</c:v>
                </c:pt>
                <c:pt idx="3">
                  <c:v>4160.17</c:v>
                </c:pt>
                <c:pt idx="4">
                  <c:v>8507.5630999999994</c:v>
                </c:pt>
                <c:pt idx="5">
                  <c:v>3052.4874</c:v>
                </c:pt>
                <c:pt idx="6">
                  <c:v>14581.8439</c:v>
                </c:pt>
                <c:pt idx="7">
                  <c:v>10300</c:v>
                </c:pt>
                <c:pt idx="8">
                  <c:v>24814.3377</c:v>
                </c:pt>
                <c:pt idx="9">
                  <c:v>33738.703271999999</c:v>
                </c:pt>
                <c:pt idx="10">
                  <c:v>12989.82</c:v>
                </c:pt>
                <c:pt idx="11">
                  <c:v>26183.724000000002</c:v>
                </c:pt>
                <c:pt idx="12">
                  <c:v>2654.5159999999996</c:v>
                </c:pt>
                <c:pt idx="13">
                  <c:v>57795.396999999997</c:v>
                </c:pt>
                <c:pt idx="14">
                  <c:v>7962.3900450000001</c:v>
                </c:pt>
                <c:pt idx="15">
                  <c:v>1302</c:v>
                </c:pt>
                <c:pt idx="16">
                  <c:v>9294.3296147199999</c:v>
                </c:pt>
                <c:pt idx="17">
                  <c:v>10660.5</c:v>
                </c:pt>
                <c:pt idx="18">
                  <c:v>4671.7298000000001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B0-4D71-B672-D2D4D4AF883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9689440993788822E-3"/>
          <c:y val="4.0179741484242651E-2"/>
          <c:w val="0.75364444661808583"/>
          <c:h val="0.953476088807719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91-433B-AC5D-A52330EE9BA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591-433B-AC5D-A52330EE9BA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591-433B-AC5D-A52330EE9BA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591-433B-AC5D-A52330EE9BA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591-433B-AC5D-A52330EE9BA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591-433B-AC5D-A52330EE9BA2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591-433B-AC5D-A52330EE9BA2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591-433B-AC5D-A52330EE9BA2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591-433B-AC5D-A52330EE9BA2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591-433B-AC5D-A52330EE9BA2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591-433B-AC5D-A52330EE9BA2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23-41AA-8DB7-B01D211186F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E591-433B-AC5D-A52330EE9BA2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E591-433B-AC5D-A52330EE9BA2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E591-433B-AC5D-A52330EE9BA2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E591-433B-AC5D-A52330EE9BA2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E591-433B-AC5D-A52330EE9BA2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E591-433B-AC5D-A52330EE9BA2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E591-433B-AC5D-A52330EE9BA2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E591-433B-AC5D-A52330EE9BA2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E591-433B-AC5D-A52330EE9BA2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E591-433B-AC5D-A52330EE9BA2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E591-433B-AC5D-A52330EE9BA2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E591-433B-AC5D-A52330EE9BA2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E591-433B-AC5D-A52330EE9BA2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E591-433B-AC5D-A52330EE9BA2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C105-46B7-B89E-3C5C8ED67032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C105-46B7-B89E-3C5C8ED670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'Operational Expense'!$B$143:$B$170</c:f>
              <c:strCache>
                <c:ptCount val="28"/>
                <c:pt idx="0">
                  <c:v>Wages </c:v>
                </c:pt>
                <c:pt idx="1">
                  <c:v>Overtime</c:v>
                </c:pt>
                <c:pt idx="2">
                  <c:v>Supplies</c:v>
                </c:pt>
                <c:pt idx="3">
                  <c:v>Repairs</c:v>
                </c:pt>
                <c:pt idx="4">
                  <c:v>Maintenance</c:v>
                </c:pt>
                <c:pt idx="5">
                  <c:v>Engineering</c:v>
                </c:pt>
                <c:pt idx="6">
                  <c:v>Utilities - All</c:v>
                </c:pt>
                <c:pt idx="7">
                  <c:v>Payroll Taxes</c:v>
                </c:pt>
                <c:pt idx="8">
                  <c:v>PERS Expense</c:v>
                </c:pt>
                <c:pt idx="9">
                  <c:v>PERS Retiree Health Expense</c:v>
                </c:pt>
                <c:pt idx="10">
                  <c:v>Employee  Benefits</c:v>
                </c:pt>
                <c:pt idx="12">
                  <c:v>Unemployment Taxes</c:v>
                </c:pt>
                <c:pt idx="13">
                  <c:v>Workers Compensation Ins.</c:v>
                </c:pt>
                <c:pt idx="14">
                  <c:v>Insurance</c:v>
                </c:pt>
                <c:pt idx="15">
                  <c:v>Office Expense</c:v>
                </c:pt>
                <c:pt idx="16">
                  <c:v>Grant Expenses</c:v>
                </c:pt>
                <c:pt idx="17">
                  <c:v>Postage</c:v>
                </c:pt>
                <c:pt idx="18">
                  <c:v>Auto Expense</c:v>
                </c:pt>
                <c:pt idx="19">
                  <c:v>Equipment</c:v>
                </c:pt>
                <c:pt idx="20">
                  <c:v>Legal Expense</c:v>
                </c:pt>
                <c:pt idx="21">
                  <c:v>Professional Services</c:v>
                </c:pt>
                <c:pt idx="22">
                  <c:v>Dues &amp; Fees</c:v>
                </c:pt>
                <c:pt idx="23">
                  <c:v>Training &amp; Travel</c:v>
                </c:pt>
                <c:pt idx="24">
                  <c:v>Fire Prevention Expenses</c:v>
                </c:pt>
                <c:pt idx="25">
                  <c:v>Other Expenses</c:v>
                </c:pt>
                <c:pt idx="26">
                  <c:v>Autorized Capital</c:v>
                </c:pt>
                <c:pt idx="27">
                  <c:v>Capital Resereves</c:v>
                </c:pt>
              </c:strCache>
            </c:strRef>
          </c:cat>
          <c:val>
            <c:numRef>
              <c:f>'Operational Expense'!$C$143:$C$170</c:f>
              <c:numCache>
                <c:formatCode>"$"#,##0.00_);\("$"#,##0.00\)</c:formatCode>
                <c:ptCount val="28"/>
                <c:pt idx="0">
                  <c:v>288095.98</c:v>
                </c:pt>
                <c:pt idx="1">
                  <c:v>44882.52</c:v>
                </c:pt>
                <c:pt idx="2">
                  <c:v>2709.83</c:v>
                </c:pt>
                <c:pt idx="3">
                  <c:v>2289.3809999999999</c:v>
                </c:pt>
                <c:pt idx="4">
                  <c:v>1014.4161</c:v>
                </c:pt>
                <c:pt idx="5">
                  <c:v>0</c:v>
                </c:pt>
                <c:pt idx="6">
                  <c:v>7768.6410999999998</c:v>
                </c:pt>
                <c:pt idx="7">
                  <c:v>46130.962297500002</c:v>
                </c:pt>
                <c:pt idx="8">
                  <c:v>81117.134192800004</c:v>
                </c:pt>
                <c:pt idx="9">
                  <c:v>22740</c:v>
                </c:pt>
                <c:pt idx="10">
                  <c:v>97542.197999999989</c:v>
                </c:pt>
                <c:pt idx="12">
                  <c:v>4123</c:v>
                </c:pt>
                <c:pt idx="13">
                  <c:v>83185.727519999986</c:v>
                </c:pt>
                <c:pt idx="14">
                  <c:v>7869.2</c:v>
                </c:pt>
                <c:pt idx="15">
                  <c:v>1927.8715999999999</c:v>
                </c:pt>
                <c:pt idx="16">
                  <c:v>65000</c:v>
                </c:pt>
                <c:pt idx="17">
                  <c:v>503.02109999999999</c:v>
                </c:pt>
                <c:pt idx="18">
                  <c:v>16351.4766</c:v>
                </c:pt>
                <c:pt idx="19">
                  <c:v>2770.0717</c:v>
                </c:pt>
                <c:pt idx="20">
                  <c:v>11580.083999999999</c:v>
                </c:pt>
                <c:pt idx="21">
                  <c:v>23846.636000000002</c:v>
                </c:pt>
                <c:pt idx="22">
                  <c:v>4377.9119999999994</c:v>
                </c:pt>
                <c:pt idx="23">
                  <c:v>1439.25</c:v>
                </c:pt>
                <c:pt idx="25">
                  <c:v>0</c:v>
                </c:pt>
                <c:pt idx="26" formatCode="_(&quot;$&quot;* #,##0.00_);_(&quot;$&quot;* \(#,##0.00\);_(&quot;$&quot;* &quot;-&quot;??_);_(@_)">
                  <c:v>10250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23-41AA-8DB7-B01D211186F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766762</xdr:colOff>
      <xdr:row>2</xdr:row>
      <xdr:rowOff>4762</xdr:rowOff>
    </xdr:from>
    <xdr:to>
      <xdr:col>15</xdr:col>
      <xdr:colOff>142875</xdr:colOff>
      <xdr:row>4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12031EEB-B481-4318-AAD9-DA6911B5B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55</xdr:row>
      <xdr:rowOff>66676</xdr:rowOff>
    </xdr:from>
    <xdr:to>
      <xdr:col>4</xdr:col>
      <xdr:colOff>600074</xdr:colOff>
      <xdr:row>88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DC0A48A-5BF4-4423-B653-669F0A954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</xdr:row>
      <xdr:rowOff>133350</xdr:rowOff>
    </xdr:from>
    <xdr:to>
      <xdr:col>4</xdr:col>
      <xdr:colOff>581025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10BA14C-F7C2-4DAB-9E00-C556BF246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97</xdr:row>
      <xdr:rowOff>152400</xdr:rowOff>
    </xdr:from>
    <xdr:to>
      <xdr:col>5</xdr:col>
      <xdr:colOff>0</xdr:colOff>
      <xdr:row>134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5A85184-304D-4B06-BF99-FD17BDC31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142</xdr:row>
      <xdr:rowOff>28575</xdr:rowOff>
    </xdr:from>
    <xdr:to>
      <xdr:col>5</xdr:col>
      <xdr:colOff>0</xdr:colOff>
      <xdr:row>179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1B62F3DC-74DB-4B60-BB52-2B0D376743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252412</xdr:colOff>
      <xdr:row>88</xdr:row>
      <xdr:rowOff>152399</xdr:rowOff>
    </xdr:from>
    <xdr:to>
      <xdr:col>14</xdr:col>
      <xdr:colOff>557212</xdr:colOff>
      <xdr:row>92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9426158-DBB2-4003-84D8-CDF00C9D2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36</xdr:row>
      <xdr:rowOff>76200</xdr:rowOff>
    </xdr:from>
    <xdr:to>
      <xdr:col>5</xdr:col>
      <xdr:colOff>400050</xdr:colOff>
      <xdr:row>66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C169927-7C4A-4890-8EA9-5AE89600C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106</xdr:row>
      <xdr:rowOff>157161</xdr:rowOff>
    </xdr:from>
    <xdr:to>
      <xdr:col>5</xdr:col>
      <xdr:colOff>457200</xdr:colOff>
      <xdr:row>137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21AD7F39-58A3-4EAE-9372-E39346D33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171</xdr:row>
      <xdr:rowOff>14286</xdr:rowOff>
    </xdr:from>
    <xdr:to>
      <xdr:col>5</xdr:col>
      <xdr:colOff>1390650</xdr:colOff>
      <xdr:row>205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842352BC-C16D-4249-A107-7AD9C079D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SimpleInvoice" displayName="SimpleInvoice" ref="B2:K17" totalsRowShown="0">
  <autoFilter ref="B2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name="Priority" dataDxfId="183"/>
    <tableColumn id="2" name="Description"/>
    <tableColumn id="4" name="21/22 Fiscal Year" dataDxfId="182"/>
    <tableColumn id="3" name="          Capitol Reserve" dataDxfId="181"/>
    <tableColumn id="7" name="5 Year"/>
    <tableColumn id="6" name="10 Year" dataDxfId="180" dataCellStyle="Quantity"/>
    <tableColumn id="8" name="15 Year"/>
    <tableColumn id="10" name="20 Year"/>
    <tableColumn id="11" name="Price">
      <calculatedColumnFormula>IFERROR((F3*H3)-I3,"")</calculatedColumnFormula>
    </tableColumn>
    <tableColumn id="5" name="Allocation" dataDxfId="179" dataCellStyle="Normal 2">
      <calculatedColumnFormula>SimpleInvoice[[#This Row],[Price]]/4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2.xml><?xml version="1.0" encoding="utf-8"?>
<table xmlns="http://schemas.openxmlformats.org/spreadsheetml/2006/main" id="2" name="SimpleInvoice3" displayName="SimpleInvoice3" ref="B2:J18" totalsRowShown="0">
  <autoFilter ref="B2:J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riority" dataDxfId="166"/>
    <tableColumn id="2" name="Description"/>
    <tableColumn id="4" name="Capitol" dataDxfId="165"/>
    <tableColumn id="3" name="Capitol Reserves" dataDxfId="164"/>
    <tableColumn id="7" name="5 Year"/>
    <tableColumn id="6" name="10 Year" dataDxfId="163" dataCellStyle="Quantity"/>
    <tableColumn id="8" name="15 Year"/>
    <tableColumn id="10" name="20 Year"/>
    <tableColumn id="11" name="Price">
      <calculatedColumnFormula>IFERROR((F3*H3)-I3,"")</calculatedColumnFormula>
    </tableColumn>
  </tableColumns>
  <tableStyleInfo name="Invoice 2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3.xml><?xml version="1.0" encoding="utf-8"?>
<table xmlns="http://schemas.openxmlformats.org/spreadsheetml/2006/main" id="3" name="SimpleInvoice4" displayName="SimpleInvoice4" ref="B2:J41" totalsRowShown="0">
  <autoFilter ref="B2:J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riority" dataDxfId="138"/>
    <tableColumn id="2" name="Description" dataDxfId="137"/>
    <tableColumn id="4" name="Capitol Fiscal 21/22" dataDxfId="136"/>
    <tableColumn id="3" name="Capitol reserves" dataDxfId="135"/>
    <tableColumn id="7" name="5 Year"/>
    <tableColumn id="6" name="10 Year" dataDxfId="134" dataCellStyle="Quantity"/>
    <tableColumn id="8" name="15 Year"/>
    <tableColumn id="10" name="20 Year"/>
    <tableColumn id="11" name="Price">
      <calculatedColumnFormula>IFERROR((F3*H3)-I3,"")</calculatedColumnFormula>
    </tableColumn>
  </tableColumns>
  <tableStyleInfo name="Invoice 3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4.xml><?xml version="1.0" encoding="utf-8"?>
<table xmlns="http://schemas.openxmlformats.org/spreadsheetml/2006/main" id="4" name="SimpleInvoice5" displayName="SimpleInvoice5" ref="B2:K40" totalsRowShown="0">
  <autoFilter ref="B2:K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1" name="Priority" dataDxfId="109"/>
    <tableColumn id="2" name="Description" dataDxfId="108"/>
    <tableColumn id="4" name="Capitol" dataDxfId="107"/>
    <tableColumn id="3" name="Capitol Reserve" dataDxfId="106"/>
    <tableColumn id="7" name="5 Year" dataDxfId="105"/>
    <tableColumn id="6" name="10 Year" dataDxfId="104" dataCellStyle="Quantity"/>
    <tableColumn id="8" name="15 Year" dataDxfId="103"/>
    <tableColumn id="10" name="20 Year" dataDxfId="102"/>
    <tableColumn id="11" name="Price">
      <calculatedColumnFormula>IFERROR((F3*H3)-I3,"")</calculatedColumnFormula>
    </tableColumn>
    <tableColumn id="5" name="Column1" dataDxfId="101">
      <calculatedColumnFormula>SimpleInvoice5[[#This Row],[Price]]/4</calculatedColumnFormula>
    </tableColumn>
  </tableColumns>
  <tableStyleInfo name="Invoice 4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5.xml><?xml version="1.0" encoding="utf-8"?>
<table xmlns="http://schemas.openxmlformats.org/spreadsheetml/2006/main" id="5" name="SimpleInvoice6" displayName="SimpleInvoice6" ref="B2:J40" totalsRowShown="0">
  <autoFilter ref="B2:J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riority" dataDxfId="76"/>
    <tableColumn id="2" name="Description" dataDxfId="75"/>
    <tableColumn id="4" name="Capitol Fiscal 21/22" dataDxfId="74"/>
    <tableColumn id="3" name="Capitol Reserves" dataDxfId="73"/>
    <tableColumn id="7" name="5 Year"/>
    <tableColumn id="6" name="10 Year" dataDxfId="72" dataCellStyle="Quantity"/>
    <tableColumn id="8" name="15 Year"/>
    <tableColumn id="10" name="20 Year"/>
    <tableColumn id="11" name="Price">
      <calculatedColumnFormula>IFERROR((F3*H3)-I3,"")</calculatedColumnFormula>
    </tableColumn>
  </tableColumns>
  <tableStyleInfo name="Invoice 5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6.xml><?xml version="1.0" encoding="utf-8"?>
<table xmlns="http://schemas.openxmlformats.org/spreadsheetml/2006/main" id="10" name="SimpleInvoice11" displayName="SimpleInvoice11" ref="B2:J40" totalsRowShown="0">
  <autoFilter ref="B2:J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riority" dataDxfId="47"/>
    <tableColumn id="2" name="Description" dataDxfId="46"/>
    <tableColumn id="4" name="Capitol" dataDxfId="45"/>
    <tableColumn id="3" name="Capitol Reserves" dataDxfId="44"/>
    <tableColumn id="7" name="5 Year" dataDxfId="43"/>
    <tableColumn id="6" name="10 Year" dataDxfId="42" dataCellStyle="Quantity"/>
    <tableColumn id="8" name="15 Year" dataDxfId="41"/>
    <tableColumn id="10" name="20 Year" dataDxfId="40"/>
    <tableColumn id="11" name="Price" dataCellStyle="Currency">
      <calculatedColumnFormula>IFERROR((F3*H3)-I3,"")</calculatedColumnFormula>
    </tableColumn>
  </tableColumns>
  <tableStyleInfo name="Invoice 10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7.xml><?xml version="1.0" encoding="utf-8"?>
<table xmlns="http://schemas.openxmlformats.org/spreadsheetml/2006/main" id="6" name="SimpleInvoice7" displayName="SimpleInvoice7" ref="B2:J17" totalsRowShown="0">
  <autoFilter ref="B2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riority" dataDxfId="33"/>
    <tableColumn id="2" name="Description"/>
    <tableColumn id="4" name="Capititol fiscal 21/22" dataDxfId="32"/>
    <tableColumn id="3" name="Capitol Reserves" dataDxfId="31"/>
    <tableColumn id="7" name="5 Year"/>
    <tableColumn id="6" name="10 Year" dataDxfId="30" dataCellStyle="Quantity"/>
    <tableColumn id="8" name="15 Year"/>
    <tableColumn id="10" name="20 Year"/>
    <tableColumn id="11" name="Price">
      <calculatedColumnFormula>IFERROR((F3*H3)-I3,"")</calculatedColumnFormula>
    </tableColumn>
  </tableColumns>
  <tableStyleInfo name="Invoice 6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8.xml><?xml version="1.0" encoding="utf-8"?>
<table xmlns="http://schemas.openxmlformats.org/spreadsheetml/2006/main" id="8" name="SimpleInvoice9" displayName="SimpleInvoice9" ref="B2:J18" totalsRowCount="1">
  <autoFilter ref="B2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riority" dataDxfId="23" totalsRowDxfId="22" dataCellStyle="Normal 2"/>
    <tableColumn id="2" name="Description" dataCellStyle="Normal 2"/>
    <tableColumn id="4" name="Capitol" dataDxfId="21" totalsRowDxfId="20" dataCellStyle="Normal 2"/>
    <tableColumn id="3" name="Capitol Reserves" dataDxfId="19" totalsRowDxfId="18" dataCellStyle="Normal 2"/>
    <tableColumn id="7" name="5 Year" dataCellStyle="Normal 2"/>
    <tableColumn id="6" name="10 Year" dataDxfId="17" totalsRowDxfId="16" dataCellStyle="Quantity"/>
    <tableColumn id="8" name="15 Year" dataCellStyle="Normal 2"/>
    <tableColumn id="10" name="20 Year" dataCellStyle="Normal 2"/>
    <tableColumn id="11" name="Price" totalsRowFunction="custom" totalsRowDxfId="15" dataCellStyle="Currency">
      <calculatedColumnFormula>IFERROR((F3*H3)-I3,"")</calculatedColumnFormula>
      <totalsRowFormula>SUM(J3:J17)</totalsRowFormula>
    </tableColumn>
  </tableColumns>
  <tableStyleInfo name="Invoice 8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ables/table9.xml><?xml version="1.0" encoding="utf-8"?>
<table xmlns="http://schemas.openxmlformats.org/spreadsheetml/2006/main" id="9" name="SimpleInvoice10" displayName="SimpleInvoice10" ref="B2:J18" totalsRowCount="1">
  <autoFilter ref="B2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riority" dataDxfId="8" totalsRowDxfId="7" dataCellStyle="Normal 2"/>
    <tableColumn id="2" name="Description" dataCellStyle="Normal 2"/>
    <tableColumn id="4" name="Capititol fiscal 21/22" dataDxfId="6" totalsRowDxfId="5" dataCellStyle="Normal 2"/>
    <tableColumn id="3" name="Capitol Reserves" dataDxfId="4" totalsRowDxfId="3" dataCellStyle="Normal 2"/>
    <tableColumn id="7" name="5 Year" dataCellStyle="Normal 2"/>
    <tableColumn id="6" name="10 Year" dataDxfId="2" totalsRowDxfId="1" dataCellStyle="Quantity"/>
    <tableColumn id="8" name="15 Year" dataCellStyle="Normal 2"/>
    <tableColumn id="10" name="20 Year" dataCellStyle="Normal 2"/>
    <tableColumn id="11" name="Price" totalsRowFunction="custom" totalsRowDxfId="0" dataCellStyle="Currency">
      <calculatedColumnFormula>IFERROR((F3*H3)-I3,"")</calculatedColumnFormula>
      <totalsRowFormula>SUM(J3:J17)</totalsRowFormula>
    </tableColumn>
  </tableColumns>
  <tableStyleInfo name="Invoice 9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33"/>
  <sheetViews>
    <sheetView workbookViewId="0">
      <selection activeCell="D16" sqref="D16"/>
    </sheetView>
  </sheetViews>
  <sheetFormatPr defaultRowHeight="15" x14ac:dyDescent="0.25"/>
  <cols>
    <col min="1" max="1" width="16.42578125" customWidth="1"/>
    <col min="2" max="2" width="8.85546875" customWidth="1"/>
    <col min="3" max="3" width="18.5703125" customWidth="1"/>
    <col min="4" max="4" width="18.42578125" customWidth="1"/>
    <col min="5" max="5" width="18.7109375" customWidth="1"/>
    <col min="6" max="6" width="17" customWidth="1"/>
    <col min="7" max="7" width="18.5703125" customWidth="1"/>
    <col min="9" max="9" width="19.85546875" customWidth="1"/>
    <col min="10" max="11" width="13.7109375" customWidth="1"/>
    <col min="12" max="12" width="12.5703125" bestFit="1" customWidth="1"/>
    <col min="13" max="13" width="12.5703125" customWidth="1"/>
    <col min="14" max="15" width="12.42578125" customWidth="1"/>
    <col min="16" max="17" width="13.28515625" customWidth="1"/>
    <col min="18" max="19" width="13" customWidth="1"/>
  </cols>
  <sheetData>
    <row r="1" spans="1:20" x14ac:dyDescent="0.25">
      <c r="A1" s="43"/>
      <c r="B1" s="43"/>
      <c r="C1" s="43"/>
      <c r="D1" s="43"/>
      <c r="E1" s="43"/>
      <c r="F1" s="43"/>
      <c r="G1" s="43"/>
    </row>
    <row r="2" spans="1:20" x14ac:dyDescent="0.25">
      <c r="A2" s="43"/>
      <c r="B2" s="43"/>
      <c r="C2" s="43"/>
      <c r="D2" s="43"/>
      <c r="E2" s="43"/>
      <c r="F2" s="43"/>
      <c r="G2" s="43"/>
    </row>
    <row r="3" spans="1:20" x14ac:dyDescent="0.25">
      <c r="A3" s="43"/>
      <c r="B3" s="43"/>
      <c r="C3" s="43"/>
      <c r="D3" s="43"/>
      <c r="E3" s="43"/>
      <c r="F3" s="43"/>
      <c r="G3" s="43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ht="18.75" x14ac:dyDescent="0.3">
      <c r="A4" s="389" t="s">
        <v>101</v>
      </c>
      <c r="B4" s="388"/>
      <c r="C4" s="140" t="s">
        <v>67</v>
      </c>
      <c r="D4" s="140" t="s">
        <v>72</v>
      </c>
      <c r="E4" s="140"/>
      <c r="F4" s="140" t="s">
        <v>4</v>
      </c>
      <c r="G4" s="140"/>
      <c r="I4" s="11"/>
      <c r="J4" s="1"/>
      <c r="K4" s="1"/>
      <c r="L4" s="1"/>
      <c r="M4" s="1"/>
      <c r="N4" s="1"/>
      <c r="O4" s="1"/>
    </row>
    <row r="5" spans="1:20" x14ac:dyDescent="0.25">
      <c r="A5" s="387"/>
      <c r="B5" s="386"/>
      <c r="C5" s="144">
        <f>Revenue!C188</f>
        <v>0</v>
      </c>
      <c r="D5" s="144">
        <f>'Utilities&amp;Auto'!C9</f>
        <v>21000</v>
      </c>
      <c r="E5" s="147"/>
      <c r="F5" s="466">
        <f>C5-D5</f>
        <v>-21000</v>
      </c>
      <c r="G5" s="147"/>
      <c r="I5" s="11"/>
      <c r="J5" s="1"/>
      <c r="K5" s="1"/>
      <c r="L5" s="2"/>
      <c r="M5" s="2"/>
      <c r="N5" s="2"/>
      <c r="O5" s="2"/>
    </row>
    <row r="6" spans="1:20" x14ac:dyDescent="0.25">
      <c r="A6" s="394"/>
      <c r="B6" s="393"/>
      <c r="C6" s="140"/>
      <c r="D6" s="140"/>
      <c r="E6" s="140"/>
      <c r="F6" s="140"/>
      <c r="G6" s="140"/>
      <c r="J6" s="1"/>
      <c r="K6" s="1"/>
      <c r="L6" s="1"/>
      <c r="M6" s="1"/>
      <c r="N6" s="2"/>
      <c r="O6" s="2"/>
    </row>
    <row r="7" spans="1:20" x14ac:dyDescent="0.25">
      <c r="A7" s="387"/>
      <c r="B7" s="392"/>
      <c r="C7" s="147"/>
      <c r="D7" s="147"/>
      <c r="E7" s="147"/>
      <c r="F7" s="147"/>
      <c r="G7" s="147"/>
      <c r="J7" s="1"/>
      <c r="K7" s="1"/>
      <c r="L7" s="2"/>
      <c r="M7" s="2"/>
    </row>
    <row r="8" spans="1:20" x14ac:dyDescent="0.25">
      <c r="A8" s="391"/>
      <c r="B8" s="390"/>
      <c r="C8" s="140"/>
      <c r="D8" s="140"/>
      <c r="E8" s="140"/>
      <c r="F8" s="140"/>
      <c r="G8" s="140"/>
      <c r="J8" s="2"/>
      <c r="K8" s="2"/>
      <c r="L8" s="2"/>
      <c r="M8" s="2"/>
    </row>
    <row r="9" spans="1:20" ht="18.75" x14ac:dyDescent="0.3">
      <c r="A9" s="395" t="s">
        <v>102</v>
      </c>
      <c r="B9" s="392"/>
      <c r="C9" s="147" t="s">
        <v>67</v>
      </c>
      <c r="D9" s="147" t="s">
        <v>72</v>
      </c>
      <c r="E9" s="147"/>
      <c r="F9" s="147"/>
      <c r="G9" s="147"/>
      <c r="J9" s="1"/>
      <c r="K9" s="1"/>
      <c r="L9" s="1"/>
      <c r="M9" s="1"/>
      <c r="T9" s="1"/>
    </row>
    <row r="10" spans="1:20" x14ac:dyDescent="0.25">
      <c r="A10" s="391"/>
      <c r="B10" s="393"/>
      <c r="C10" s="156">
        <f>Revenue!C10</f>
        <v>631967</v>
      </c>
      <c r="D10" s="151">
        <f>'Operational Expense'!C32</f>
        <v>608596.74611572002</v>
      </c>
      <c r="E10" s="140"/>
      <c r="F10" s="229">
        <f>C10-D10</f>
        <v>23370.253884279984</v>
      </c>
      <c r="G10" s="140"/>
      <c r="P10" s="1"/>
      <c r="Q10" s="1"/>
    </row>
    <row r="11" spans="1:20" x14ac:dyDescent="0.25">
      <c r="A11" s="397"/>
      <c r="B11" s="396"/>
      <c r="C11" s="147"/>
      <c r="D11" s="147"/>
      <c r="E11" s="147"/>
      <c r="F11" s="147"/>
      <c r="G11" s="147"/>
    </row>
    <row r="12" spans="1:20" x14ac:dyDescent="0.25">
      <c r="A12" s="391"/>
      <c r="B12" s="393"/>
      <c r="C12" s="140"/>
      <c r="D12" s="140"/>
      <c r="E12" s="140"/>
      <c r="F12" s="140"/>
      <c r="G12" s="140"/>
    </row>
    <row r="13" spans="1:20" x14ac:dyDescent="0.25">
      <c r="A13" s="387"/>
      <c r="B13" s="386"/>
      <c r="C13" s="147"/>
      <c r="D13" s="147"/>
      <c r="E13" s="147"/>
      <c r="F13" s="147"/>
      <c r="G13" s="147"/>
    </row>
    <row r="14" spans="1:20" ht="18.75" x14ac:dyDescent="0.3">
      <c r="A14" s="389" t="s">
        <v>103</v>
      </c>
      <c r="B14" s="393"/>
      <c r="C14" s="140" t="s">
        <v>67</v>
      </c>
      <c r="D14" s="140" t="s">
        <v>72</v>
      </c>
      <c r="E14" s="140"/>
      <c r="F14" s="140"/>
      <c r="G14" s="140"/>
    </row>
    <row r="15" spans="1:20" x14ac:dyDescent="0.25">
      <c r="A15" s="387"/>
      <c r="B15" s="386"/>
      <c r="C15" s="144">
        <f>Revenue!C54</f>
        <v>649769.56999999995</v>
      </c>
      <c r="D15" s="144">
        <f>'Operational Expense'!C100</f>
        <v>497543.62673172005</v>
      </c>
      <c r="E15" s="147"/>
      <c r="F15" s="229">
        <f>C15-D15</f>
        <v>152225.94326827989</v>
      </c>
      <c r="G15" s="147"/>
    </row>
    <row r="16" spans="1:20" x14ac:dyDescent="0.25">
      <c r="A16" s="394"/>
      <c r="B16" s="393"/>
      <c r="C16" s="140"/>
      <c r="D16" s="140"/>
      <c r="E16" s="140"/>
      <c r="F16" s="140"/>
      <c r="G16" s="140"/>
    </row>
    <row r="17" spans="1:8" x14ac:dyDescent="0.25">
      <c r="A17" s="387"/>
      <c r="B17" s="386"/>
      <c r="C17" s="147"/>
      <c r="D17" s="147"/>
      <c r="E17" s="147"/>
      <c r="F17" s="147"/>
      <c r="G17" s="147"/>
    </row>
    <row r="18" spans="1:8" x14ac:dyDescent="0.25">
      <c r="A18" s="391"/>
      <c r="B18" s="393"/>
      <c r="C18" s="140"/>
      <c r="D18" s="140"/>
      <c r="E18" s="140"/>
      <c r="F18" s="140"/>
      <c r="G18" s="140"/>
    </row>
    <row r="19" spans="1:8" ht="18.75" x14ac:dyDescent="0.3">
      <c r="A19" s="395" t="s">
        <v>104</v>
      </c>
      <c r="B19" s="386"/>
      <c r="C19" s="147" t="s">
        <v>67</v>
      </c>
      <c r="D19" s="147" t="s">
        <v>72</v>
      </c>
      <c r="E19" s="147"/>
      <c r="F19" s="147"/>
      <c r="G19" s="147"/>
    </row>
    <row r="20" spans="1:8" x14ac:dyDescent="0.25">
      <c r="A20" s="391"/>
      <c r="B20" s="393"/>
      <c r="C20" s="156">
        <f>Revenue!C96</f>
        <v>297000</v>
      </c>
      <c r="D20" s="151">
        <f>'Operational Expense'!C171</f>
        <v>827515.31321029994</v>
      </c>
      <c r="E20" s="140"/>
      <c r="F20" s="229">
        <f>C20-D20</f>
        <v>-530515.31321029994</v>
      </c>
      <c r="G20" s="140"/>
    </row>
    <row r="21" spans="1:8" x14ac:dyDescent="0.25">
      <c r="A21" s="397"/>
      <c r="B21" s="386"/>
      <c r="C21" s="147"/>
      <c r="D21" s="147"/>
      <c r="E21" s="147"/>
      <c r="F21" s="147"/>
      <c r="G21" s="147"/>
    </row>
    <row r="22" spans="1:8" x14ac:dyDescent="0.25">
      <c r="A22" s="391"/>
      <c r="B22" s="393"/>
      <c r="C22" s="140"/>
      <c r="D22" s="140"/>
      <c r="E22" s="140"/>
      <c r="F22" s="140"/>
      <c r="G22" s="140"/>
    </row>
    <row r="23" spans="1:8" x14ac:dyDescent="0.25">
      <c r="A23" s="387"/>
      <c r="B23" s="386"/>
      <c r="C23" s="147"/>
      <c r="D23" s="147"/>
      <c r="E23" s="147"/>
      <c r="F23" s="147"/>
      <c r="G23" s="147"/>
    </row>
    <row r="24" spans="1:8" ht="18.75" x14ac:dyDescent="0.3">
      <c r="A24" s="389" t="s">
        <v>105</v>
      </c>
      <c r="B24" s="393"/>
      <c r="C24" s="140" t="s">
        <v>67</v>
      </c>
      <c r="D24" s="140" t="s">
        <v>72</v>
      </c>
      <c r="E24" s="140"/>
      <c r="F24" s="140"/>
      <c r="G24" s="140"/>
    </row>
    <row r="25" spans="1:8" x14ac:dyDescent="0.25">
      <c r="A25" s="387"/>
      <c r="B25" s="386"/>
      <c r="C25" s="144">
        <f>Revenue!C141</f>
        <v>248000</v>
      </c>
      <c r="D25" s="144">
        <f>'Operational Expense'!C235</f>
        <v>751534.5710491268</v>
      </c>
      <c r="E25" s="147"/>
      <c r="F25" s="466">
        <f>C25-D25</f>
        <v>-503534.5710491268</v>
      </c>
      <c r="G25" s="147"/>
    </row>
    <row r="26" spans="1:8" x14ac:dyDescent="0.25">
      <c r="A26" s="391"/>
      <c r="B26" s="393"/>
      <c r="C26" s="140"/>
      <c r="D26" s="140"/>
      <c r="E26" s="140"/>
      <c r="F26" s="140"/>
      <c r="G26" s="140"/>
    </row>
    <row r="27" spans="1:8" x14ac:dyDescent="0.25">
      <c r="A27" s="387"/>
      <c r="B27" s="386"/>
      <c r="C27" s="147"/>
      <c r="D27" s="147"/>
      <c r="E27" s="147"/>
      <c r="F27" s="144"/>
      <c r="G27" s="147"/>
    </row>
    <row r="28" spans="1:8" x14ac:dyDescent="0.25">
      <c r="A28" s="505" t="s">
        <v>626</v>
      </c>
      <c r="B28" s="393"/>
      <c r="C28" s="140" t="s">
        <v>67</v>
      </c>
      <c r="D28" s="140" t="s">
        <v>72</v>
      </c>
      <c r="E28" s="140"/>
      <c r="F28" s="156"/>
      <c r="G28" s="140"/>
    </row>
    <row r="29" spans="1:8" x14ac:dyDescent="0.25">
      <c r="A29" s="387"/>
      <c r="B29" s="386"/>
      <c r="C29" s="144">
        <f>C25+C20+C15+C10</f>
        <v>1826736.5699999998</v>
      </c>
      <c r="D29" s="146">
        <f>D25+D20+D15+D10</f>
        <v>2685190.2571068667</v>
      </c>
      <c r="E29" s="147"/>
      <c r="F29" s="229">
        <f>C29-D29</f>
        <v>-858453.68710686686</v>
      </c>
      <c r="G29" s="147"/>
      <c r="H29" t="s">
        <v>106</v>
      </c>
    </row>
    <row r="30" spans="1:8" x14ac:dyDescent="0.25">
      <c r="A30" s="391"/>
      <c r="B30" s="393"/>
      <c r="C30" s="140"/>
      <c r="D30" s="140"/>
      <c r="E30" s="140"/>
      <c r="F30" s="140"/>
      <c r="G30" s="140"/>
    </row>
    <row r="31" spans="1:8" x14ac:dyDescent="0.25">
      <c r="A31" s="387"/>
      <c r="B31" s="386"/>
      <c r="C31" s="147"/>
      <c r="D31" s="147"/>
      <c r="E31" s="147"/>
      <c r="F31" s="144"/>
      <c r="G31" s="147"/>
    </row>
    <row r="32" spans="1:8" x14ac:dyDescent="0.25">
      <c r="A32" s="391"/>
      <c r="B32" s="393"/>
      <c r="C32" s="140"/>
      <c r="D32" s="140"/>
      <c r="E32" s="140"/>
      <c r="F32" s="140"/>
      <c r="G32" s="140"/>
    </row>
    <row r="33" spans="1:7" x14ac:dyDescent="0.25">
      <c r="A33" s="387"/>
      <c r="B33" s="386"/>
      <c r="C33" s="147"/>
      <c r="D33" s="147"/>
      <c r="E33" s="147"/>
      <c r="F33" s="147"/>
      <c r="G33" s="147"/>
    </row>
  </sheetData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62"/>
  <sheetViews>
    <sheetView workbookViewId="0">
      <selection activeCell="J50" sqref="J50"/>
    </sheetView>
  </sheetViews>
  <sheetFormatPr defaultRowHeight="15" x14ac:dyDescent="0.25"/>
  <cols>
    <col min="1" max="1" width="23.5703125" customWidth="1"/>
    <col min="2" max="2" width="16.5703125" customWidth="1"/>
    <col min="3" max="3" width="15.85546875" customWidth="1"/>
    <col min="4" max="4" width="15.5703125" customWidth="1"/>
    <col min="5" max="5" width="16.7109375" customWidth="1"/>
    <col min="7" max="7" width="10.85546875" bestFit="1" customWidth="1"/>
  </cols>
  <sheetData>
    <row r="1" spans="1:17" x14ac:dyDescent="0.25">
      <c r="A1" s="526"/>
      <c r="B1" s="526"/>
      <c r="C1" s="526"/>
      <c r="D1" s="526"/>
      <c r="E1" s="526"/>
    </row>
    <row r="2" spans="1:17" ht="43.5" customHeight="1" x14ac:dyDescent="0.25">
      <c r="A2" s="14"/>
    </row>
    <row r="3" spans="1:17" ht="24.75" customHeight="1" x14ac:dyDescent="0.3">
      <c r="A3" s="65" t="s">
        <v>143</v>
      </c>
      <c r="B3" s="66" t="s">
        <v>144</v>
      </c>
      <c r="C3" s="66"/>
      <c r="D3" s="66"/>
      <c r="E3" s="66"/>
      <c r="F3" s="66"/>
      <c r="G3" s="66"/>
    </row>
    <row r="4" spans="1:17" ht="30" x14ac:dyDescent="0.25">
      <c r="A4" s="74" t="s">
        <v>51</v>
      </c>
      <c r="B4" s="74"/>
      <c r="C4" s="74" t="s">
        <v>53</v>
      </c>
      <c r="D4" s="74" t="s">
        <v>54</v>
      </c>
      <c r="E4" s="74" t="s">
        <v>55</v>
      </c>
      <c r="F4" s="75"/>
      <c r="G4" s="75"/>
      <c r="N4" s="248" t="s">
        <v>13</v>
      </c>
      <c r="P4" s="286" t="s">
        <v>577</v>
      </c>
      <c r="Q4">
        <v>4411</v>
      </c>
    </row>
    <row r="5" spans="1:17" x14ac:dyDescent="0.25">
      <c r="A5" s="39" t="s">
        <v>13</v>
      </c>
      <c r="B5" s="45"/>
      <c r="C5" s="52">
        <v>6.2E-2</v>
      </c>
      <c r="D5" s="44">
        <v>7000</v>
      </c>
      <c r="E5" s="44">
        <f>C5*D5</f>
        <v>434</v>
      </c>
      <c r="F5" s="37"/>
      <c r="G5" s="39"/>
      <c r="N5" s="248" t="s">
        <v>14</v>
      </c>
      <c r="P5" s="286" t="s">
        <v>578</v>
      </c>
      <c r="Q5">
        <v>3331</v>
      </c>
    </row>
    <row r="6" spans="1:17" x14ac:dyDescent="0.25">
      <c r="A6" s="39" t="s">
        <v>14</v>
      </c>
      <c r="B6" s="45"/>
      <c r="C6" s="52">
        <v>6.2E-2</v>
      </c>
      <c r="D6" s="44">
        <v>7000</v>
      </c>
      <c r="E6" s="44">
        <f t="shared" ref="E6:E17" si="0">C6*D6</f>
        <v>434</v>
      </c>
      <c r="F6" s="37"/>
      <c r="G6" s="39"/>
      <c r="N6" s="248" t="s">
        <v>15</v>
      </c>
      <c r="P6" s="286" t="s">
        <v>579</v>
      </c>
      <c r="Q6">
        <v>3313</v>
      </c>
    </row>
    <row r="7" spans="1:17" x14ac:dyDescent="0.25">
      <c r="A7" s="39" t="s">
        <v>15</v>
      </c>
      <c r="B7" s="45"/>
      <c r="C7" s="52">
        <v>6.2E-2</v>
      </c>
      <c r="D7" s="44">
        <v>7000</v>
      </c>
      <c r="E7" s="44">
        <f t="shared" si="0"/>
        <v>434</v>
      </c>
      <c r="F7" s="37"/>
      <c r="G7" s="39"/>
      <c r="N7" s="248" t="s">
        <v>5</v>
      </c>
      <c r="P7" s="286"/>
      <c r="Q7">
        <v>23</v>
      </c>
    </row>
    <row r="8" spans="1:17" x14ac:dyDescent="0.25">
      <c r="A8" s="39" t="s">
        <v>5</v>
      </c>
      <c r="B8" s="45"/>
      <c r="C8" s="52">
        <v>6.2E-2</v>
      </c>
      <c r="D8" s="44">
        <v>7000</v>
      </c>
      <c r="E8" s="44">
        <f t="shared" si="0"/>
        <v>434</v>
      </c>
      <c r="F8" s="39" t="s">
        <v>50</v>
      </c>
      <c r="G8" s="39"/>
      <c r="N8" s="248" t="s">
        <v>6</v>
      </c>
      <c r="P8" s="286" t="s">
        <v>580</v>
      </c>
      <c r="Q8">
        <v>23</v>
      </c>
    </row>
    <row r="9" spans="1:17" x14ac:dyDescent="0.25">
      <c r="A9" s="39" t="s">
        <v>6</v>
      </c>
      <c r="B9" s="45"/>
      <c r="C9" s="52">
        <v>6.2E-2</v>
      </c>
      <c r="D9" s="44">
        <v>7000</v>
      </c>
      <c r="E9" s="44">
        <f t="shared" si="0"/>
        <v>434</v>
      </c>
      <c r="F9" s="39"/>
      <c r="G9" s="39"/>
      <c r="N9" s="248" t="s">
        <v>7</v>
      </c>
      <c r="P9" s="286" t="s">
        <v>581</v>
      </c>
    </row>
    <row r="10" spans="1:17" x14ac:dyDescent="0.25">
      <c r="A10" s="39" t="s">
        <v>7</v>
      </c>
      <c r="B10" s="45"/>
      <c r="C10" s="52">
        <v>6.2E-2</v>
      </c>
      <c r="D10" s="44">
        <v>7000</v>
      </c>
      <c r="E10" s="44">
        <f t="shared" si="0"/>
        <v>434</v>
      </c>
      <c r="F10" s="39"/>
      <c r="G10" s="39"/>
      <c r="N10" s="248" t="s">
        <v>8</v>
      </c>
      <c r="P10" s="286" t="s">
        <v>582</v>
      </c>
    </row>
    <row r="11" spans="1:17" x14ac:dyDescent="0.25">
      <c r="A11" s="39" t="s">
        <v>8</v>
      </c>
      <c r="B11" s="45"/>
      <c r="C11" s="52">
        <v>6.2E-2</v>
      </c>
      <c r="D11" s="44">
        <v>7000</v>
      </c>
      <c r="E11" s="44">
        <f t="shared" si="0"/>
        <v>434</v>
      </c>
      <c r="F11" s="39"/>
      <c r="G11" s="39"/>
      <c r="N11" s="248" t="s">
        <v>41</v>
      </c>
      <c r="P11" s="286" t="s">
        <v>583</v>
      </c>
      <c r="Q11">
        <v>4</v>
      </c>
    </row>
    <row r="12" spans="1:17" x14ac:dyDescent="0.25">
      <c r="A12" s="39" t="s">
        <v>41</v>
      </c>
      <c r="B12" s="45"/>
      <c r="C12" s="52">
        <v>6.2E-2</v>
      </c>
      <c r="D12" s="44">
        <v>7000</v>
      </c>
      <c r="E12" s="44">
        <f t="shared" si="0"/>
        <v>434</v>
      </c>
      <c r="F12" s="37"/>
      <c r="G12" s="39"/>
      <c r="N12" s="248" t="s">
        <v>205</v>
      </c>
      <c r="P12" s="286" t="s">
        <v>584</v>
      </c>
      <c r="Q12">
        <v>4</v>
      </c>
    </row>
    <row r="13" spans="1:17" x14ac:dyDescent="0.25">
      <c r="A13" s="39" t="s">
        <v>231</v>
      </c>
      <c r="B13" s="246"/>
      <c r="C13" s="52">
        <v>6.2E-2</v>
      </c>
      <c r="D13" s="44">
        <v>7000</v>
      </c>
      <c r="E13" s="44">
        <f t="shared" si="0"/>
        <v>434</v>
      </c>
      <c r="F13" s="37"/>
      <c r="G13" s="39"/>
      <c r="N13" s="248" t="s">
        <v>206</v>
      </c>
      <c r="P13" s="286" t="s">
        <v>585</v>
      </c>
      <c r="Q13">
        <v>4</v>
      </c>
    </row>
    <row r="14" spans="1:17" x14ac:dyDescent="0.25">
      <c r="A14" s="39" t="s">
        <v>232</v>
      </c>
      <c r="B14" s="246"/>
      <c r="C14" s="52">
        <v>6.2E-2</v>
      </c>
      <c r="D14" s="44">
        <v>7000</v>
      </c>
      <c r="E14" s="44">
        <f t="shared" si="0"/>
        <v>434</v>
      </c>
      <c r="F14" s="37"/>
      <c r="G14" s="39"/>
      <c r="N14" s="248" t="s">
        <v>207</v>
      </c>
      <c r="P14" s="286" t="s">
        <v>586</v>
      </c>
      <c r="Q14">
        <v>4</v>
      </c>
    </row>
    <row r="15" spans="1:17" x14ac:dyDescent="0.25">
      <c r="A15" s="39" t="s">
        <v>233</v>
      </c>
      <c r="B15" s="246"/>
      <c r="C15" s="52">
        <v>6.2E-2</v>
      </c>
      <c r="D15" s="44">
        <v>7000</v>
      </c>
      <c r="E15" s="44">
        <f t="shared" si="0"/>
        <v>434</v>
      </c>
      <c r="F15" s="37"/>
      <c r="G15" s="39"/>
      <c r="N15" s="248" t="s">
        <v>599</v>
      </c>
      <c r="P15" s="286" t="s">
        <v>600</v>
      </c>
      <c r="Q15">
        <v>6</v>
      </c>
    </row>
    <row r="16" spans="1:17" x14ac:dyDescent="0.25">
      <c r="A16" s="39" t="s">
        <v>234</v>
      </c>
      <c r="B16" s="246"/>
      <c r="C16" s="52">
        <v>6.2E-2</v>
      </c>
      <c r="D16" s="44">
        <v>7000</v>
      </c>
      <c r="E16" s="44">
        <f t="shared" si="0"/>
        <v>434</v>
      </c>
      <c r="F16" s="37"/>
      <c r="G16" s="39"/>
      <c r="N16" s="248" t="s">
        <v>209</v>
      </c>
      <c r="P16" s="286" t="s">
        <v>587</v>
      </c>
      <c r="Q16">
        <v>6</v>
      </c>
    </row>
    <row r="17" spans="1:17" x14ac:dyDescent="0.25">
      <c r="A17" s="39" t="s">
        <v>209</v>
      </c>
      <c r="B17" s="246"/>
      <c r="C17" s="52">
        <v>6.2E-2</v>
      </c>
      <c r="D17" s="44">
        <v>7000</v>
      </c>
      <c r="E17" s="44">
        <f t="shared" si="0"/>
        <v>434</v>
      </c>
      <c r="F17" s="37"/>
      <c r="G17" s="39"/>
      <c r="N17" s="248" t="s">
        <v>210</v>
      </c>
      <c r="P17" s="286" t="s">
        <v>570</v>
      </c>
      <c r="Q17">
        <v>6</v>
      </c>
    </row>
    <row r="18" spans="1:17" x14ac:dyDescent="0.25">
      <c r="A18" s="39" t="s">
        <v>216</v>
      </c>
      <c r="B18" s="246"/>
      <c r="C18" s="52"/>
      <c r="D18" s="44"/>
      <c r="E18" s="44"/>
      <c r="F18" s="37"/>
      <c r="G18" s="39"/>
      <c r="N18" s="248" t="s">
        <v>230</v>
      </c>
      <c r="P18" s="286"/>
    </row>
    <row r="19" spans="1:17" x14ac:dyDescent="0.25">
      <c r="A19" s="39" t="s">
        <v>235</v>
      </c>
      <c r="B19" s="246"/>
      <c r="C19" s="52"/>
      <c r="D19" s="44"/>
      <c r="E19" s="44"/>
      <c r="F19" s="37"/>
      <c r="G19" s="39"/>
      <c r="N19" s="248" t="s">
        <v>536</v>
      </c>
      <c r="P19" s="286" t="s">
        <v>571</v>
      </c>
      <c r="Q19">
        <v>23</v>
      </c>
    </row>
    <row r="20" spans="1:17" x14ac:dyDescent="0.25">
      <c r="A20" s="39"/>
      <c r="B20" s="39"/>
      <c r="C20" s="76"/>
      <c r="D20" s="76"/>
      <c r="E20" s="39"/>
      <c r="F20" s="39"/>
      <c r="G20" s="39"/>
      <c r="N20" s="248" t="s">
        <v>537</v>
      </c>
      <c r="P20" s="286" t="s">
        <v>572</v>
      </c>
      <c r="Q20">
        <v>4</v>
      </c>
    </row>
    <row r="21" spans="1:17" x14ac:dyDescent="0.25">
      <c r="A21" s="40"/>
      <c r="B21" s="37"/>
      <c r="C21" s="39"/>
      <c r="D21" s="77" t="s">
        <v>60</v>
      </c>
      <c r="E21" s="522">
        <f>SUM(E5:E20)</f>
        <v>5642</v>
      </c>
      <c r="F21" s="37"/>
      <c r="G21" s="37"/>
      <c r="N21" s="248" t="s">
        <v>538</v>
      </c>
      <c r="P21" s="286" t="s">
        <v>573</v>
      </c>
      <c r="Q21">
        <v>23</v>
      </c>
    </row>
    <row r="22" spans="1:17" x14ac:dyDescent="0.25">
      <c r="A22" s="16"/>
      <c r="B22" s="4"/>
      <c r="C22" s="9"/>
      <c r="D22" s="4"/>
      <c r="E22" s="4"/>
      <c r="F22" s="4"/>
      <c r="G22" s="4"/>
      <c r="N22" s="248" t="s">
        <v>539</v>
      </c>
      <c r="P22" s="286" t="s">
        <v>574</v>
      </c>
      <c r="Q22">
        <v>23</v>
      </c>
    </row>
    <row r="23" spans="1:17" x14ac:dyDescent="0.25">
      <c r="A23" s="16"/>
      <c r="B23" s="4"/>
      <c r="C23" s="9"/>
      <c r="D23" s="4"/>
      <c r="E23" s="4"/>
      <c r="F23" s="4"/>
      <c r="G23" s="4"/>
      <c r="N23" s="248" t="s">
        <v>540</v>
      </c>
      <c r="P23" s="286" t="s">
        <v>575</v>
      </c>
      <c r="Q23">
        <v>6</v>
      </c>
    </row>
    <row r="24" spans="1:17" x14ac:dyDescent="0.25">
      <c r="A24" s="16"/>
      <c r="B24" s="4"/>
      <c r="C24" s="9"/>
      <c r="D24" s="4"/>
      <c r="E24" s="4"/>
      <c r="F24" s="4"/>
      <c r="G24" s="4"/>
      <c r="N24" s="248" t="s">
        <v>541</v>
      </c>
      <c r="P24" s="286" t="s">
        <v>576</v>
      </c>
      <c r="Q24">
        <v>4</v>
      </c>
    </row>
    <row r="25" spans="1:17" x14ac:dyDescent="0.25">
      <c r="A25" s="16"/>
      <c r="B25" s="4"/>
      <c r="C25" s="9"/>
      <c r="D25" s="4"/>
      <c r="E25" s="4"/>
      <c r="F25" s="4"/>
      <c r="G25" s="4"/>
    </row>
    <row r="26" spans="1:17" x14ac:dyDescent="0.25">
      <c r="A26" s="16"/>
      <c r="B26" s="4"/>
      <c r="C26" s="9"/>
      <c r="D26" s="4"/>
      <c r="E26" s="4"/>
      <c r="F26" s="4"/>
      <c r="G26" s="4"/>
    </row>
    <row r="27" spans="1:17" x14ac:dyDescent="0.25">
      <c r="A27" s="16"/>
      <c r="B27" s="4"/>
      <c r="C27" s="9"/>
      <c r="D27" s="4"/>
      <c r="E27" s="4"/>
      <c r="F27" s="4"/>
      <c r="G27" s="4"/>
    </row>
    <row r="28" spans="1:17" x14ac:dyDescent="0.25">
      <c r="A28" s="16"/>
      <c r="B28" s="4"/>
      <c r="C28" s="9"/>
      <c r="D28" s="4"/>
      <c r="E28" s="4"/>
      <c r="F28" s="4"/>
      <c r="G28" s="4"/>
    </row>
    <row r="29" spans="1:17" x14ac:dyDescent="0.25">
      <c r="A29" s="16"/>
      <c r="B29" s="4"/>
      <c r="C29" s="9"/>
      <c r="D29" s="4"/>
      <c r="E29" s="4"/>
      <c r="F29" s="4"/>
      <c r="G29" s="4"/>
    </row>
    <row r="30" spans="1:17" x14ac:dyDescent="0.25">
      <c r="A30" s="16"/>
      <c r="B30" s="4"/>
      <c r="C30" s="9"/>
      <c r="D30" s="4"/>
      <c r="E30" s="4"/>
      <c r="F30" s="4"/>
      <c r="G30" s="4"/>
    </row>
    <row r="31" spans="1:17" x14ac:dyDescent="0.25">
      <c r="A31" s="16"/>
      <c r="B31" s="4"/>
      <c r="C31" s="9"/>
      <c r="D31" s="4"/>
      <c r="E31" s="4"/>
      <c r="F31" s="4"/>
      <c r="G31" s="4"/>
    </row>
    <row r="32" spans="1:17" x14ac:dyDescent="0.25">
      <c r="A32" s="16"/>
      <c r="B32" s="4"/>
      <c r="C32" s="4"/>
      <c r="D32" s="4"/>
      <c r="G32" s="4"/>
    </row>
    <row r="33" spans="1:17" x14ac:dyDescent="0.25">
      <c r="C33" s="14"/>
      <c r="D33" s="14"/>
      <c r="E33" s="14"/>
      <c r="F33" s="14"/>
    </row>
    <row r="34" spans="1:17" x14ac:dyDescent="0.25">
      <c r="C34" s="14"/>
      <c r="D34" s="14"/>
      <c r="E34" s="14"/>
      <c r="F34" s="14"/>
    </row>
    <row r="35" spans="1:17" ht="18.75" x14ac:dyDescent="0.3">
      <c r="A35" s="533" t="s">
        <v>145</v>
      </c>
      <c r="B35" s="534"/>
      <c r="C35" s="534"/>
      <c r="D35" s="534"/>
      <c r="E35" s="534"/>
      <c r="F35" s="67"/>
      <c r="G35" s="67"/>
      <c r="H35" s="67"/>
    </row>
    <row r="36" spans="1:17" x14ac:dyDescent="0.25">
      <c r="A36" s="67"/>
      <c r="B36" s="68" t="s">
        <v>9</v>
      </c>
      <c r="C36" s="68" t="s">
        <v>10</v>
      </c>
      <c r="D36" s="68" t="s">
        <v>16</v>
      </c>
      <c r="E36" s="68" t="s">
        <v>17</v>
      </c>
      <c r="F36" s="68"/>
      <c r="G36" s="69"/>
      <c r="H36" s="67"/>
      <c r="N36" s="248" t="s">
        <v>13</v>
      </c>
      <c r="P36" s="286" t="s">
        <v>577</v>
      </c>
      <c r="Q36">
        <v>4411</v>
      </c>
    </row>
    <row r="37" spans="1:17" x14ac:dyDescent="0.25">
      <c r="A37" s="70" t="s">
        <v>13</v>
      </c>
      <c r="B37" s="199">
        <f>E5*0.4</f>
        <v>173.60000000000002</v>
      </c>
      <c r="C37" s="199">
        <f>E5*0.4</f>
        <v>173.60000000000002</v>
      </c>
      <c r="D37" s="199">
        <f>E5*0.1</f>
        <v>43.400000000000006</v>
      </c>
      <c r="E37" s="199">
        <f>E5*0.1</f>
        <v>43.400000000000006</v>
      </c>
      <c r="F37" s="199"/>
      <c r="G37" s="202"/>
      <c r="H37" s="67"/>
      <c r="N37" s="248" t="s">
        <v>14</v>
      </c>
      <c r="P37" s="286" t="s">
        <v>578</v>
      </c>
      <c r="Q37">
        <v>3331</v>
      </c>
    </row>
    <row r="38" spans="1:17" ht="18.75" customHeight="1" x14ac:dyDescent="0.25">
      <c r="A38" s="70" t="s">
        <v>14</v>
      </c>
      <c r="B38" s="199">
        <f>E6*0.3</f>
        <v>130.19999999999999</v>
      </c>
      <c r="C38" s="199">
        <f>E6*0.3</f>
        <v>130.19999999999999</v>
      </c>
      <c r="D38" s="199">
        <f>E6*0.3</f>
        <v>130.19999999999999</v>
      </c>
      <c r="E38" s="199">
        <f>E6*0.1</f>
        <v>43.400000000000006</v>
      </c>
      <c r="F38" s="199"/>
      <c r="G38" s="202"/>
      <c r="H38" s="67"/>
      <c r="N38" s="248" t="s">
        <v>15</v>
      </c>
      <c r="P38" s="286" t="s">
        <v>579</v>
      </c>
      <c r="Q38">
        <v>3313</v>
      </c>
    </row>
    <row r="39" spans="1:17" ht="17.25" customHeight="1" x14ac:dyDescent="0.25">
      <c r="A39" s="70" t="s">
        <v>15</v>
      </c>
      <c r="B39" s="199">
        <f>E7*0.3</f>
        <v>130.19999999999999</v>
      </c>
      <c r="C39" s="199">
        <f>E7*0.3</f>
        <v>130.19999999999999</v>
      </c>
      <c r="D39" s="199">
        <f>E7*0.1</f>
        <v>43.400000000000006</v>
      </c>
      <c r="E39" s="199">
        <f>E7*0.3</f>
        <v>130.19999999999999</v>
      </c>
      <c r="F39" s="199"/>
      <c r="G39" s="202"/>
      <c r="H39" s="67"/>
      <c r="N39" s="248" t="s">
        <v>5</v>
      </c>
      <c r="P39" s="286"/>
      <c r="Q39">
        <v>23</v>
      </c>
    </row>
    <row r="40" spans="1:17" x14ac:dyDescent="0.25">
      <c r="A40" s="70" t="s">
        <v>5</v>
      </c>
      <c r="B40" s="199">
        <f>E8*0.5</f>
        <v>217</v>
      </c>
      <c r="C40" s="199">
        <f>E8*0.5</f>
        <v>217</v>
      </c>
      <c r="D40" s="201"/>
      <c r="E40" s="201"/>
      <c r="F40" s="199"/>
      <c r="G40" s="202"/>
      <c r="H40" s="67"/>
      <c r="N40" s="248" t="s">
        <v>6</v>
      </c>
      <c r="P40" s="286" t="s">
        <v>580</v>
      </c>
      <c r="Q40">
        <v>23</v>
      </c>
    </row>
    <row r="41" spans="1:17" x14ac:dyDescent="0.25">
      <c r="A41" s="70" t="s">
        <v>6</v>
      </c>
      <c r="B41" s="199">
        <f>E9*0.5</f>
        <v>217</v>
      </c>
      <c r="C41" s="199">
        <f>E9*0.5</f>
        <v>217</v>
      </c>
      <c r="D41" s="201"/>
      <c r="E41" s="201"/>
      <c r="F41" s="199"/>
      <c r="G41" s="202"/>
      <c r="H41" s="67"/>
      <c r="N41" s="248" t="s">
        <v>7</v>
      </c>
      <c r="P41" s="286" t="s">
        <v>581</v>
      </c>
    </row>
    <row r="42" spans="1:17" x14ac:dyDescent="0.25">
      <c r="A42" s="70" t="s">
        <v>7</v>
      </c>
      <c r="B42" s="199">
        <f>E10*0.5</f>
        <v>217</v>
      </c>
      <c r="C42" s="199">
        <f>E10*0.5</f>
        <v>217</v>
      </c>
      <c r="D42" s="201"/>
      <c r="E42" s="201"/>
      <c r="F42" s="199"/>
      <c r="G42" s="202"/>
      <c r="H42" s="67"/>
      <c r="N42" s="248" t="s">
        <v>8</v>
      </c>
      <c r="P42" s="286" t="s">
        <v>582</v>
      </c>
    </row>
    <row r="43" spans="1:17" x14ac:dyDescent="0.25">
      <c r="A43" s="70" t="s">
        <v>8</v>
      </c>
      <c r="B43" s="199">
        <f>E11*0.5</f>
        <v>217</v>
      </c>
      <c r="C43" s="199">
        <f>E11*0.5</f>
        <v>217</v>
      </c>
      <c r="D43" s="201"/>
      <c r="E43" s="201"/>
      <c r="F43" s="199"/>
      <c r="G43" s="202"/>
      <c r="H43" s="67"/>
      <c r="N43" s="248" t="s">
        <v>41</v>
      </c>
      <c r="P43" s="286" t="s">
        <v>583</v>
      </c>
      <c r="Q43">
        <v>4</v>
      </c>
    </row>
    <row r="44" spans="1:17" x14ac:dyDescent="0.25">
      <c r="A44" s="71" t="s">
        <v>41</v>
      </c>
      <c r="B44" s="202"/>
      <c r="C44" s="201"/>
      <c r="D44" s="199">
        <f>E12</f>
        <v>434</v>
      </c>
      <c r="E44" s="199"/>
      <c r="F44" s="199"/>
      <c r="G44" s="202"/>
      <c r="H44" s="67"/>
      <c r="N44" s="248" t="s">
        <v>205</v>
      </c>
      <c r="P44" s="286" t="s">
        <v>584</v>
      </c>
      <c r="Q44">
        <v>4</v>
      </c>
    </row>
    <row r="45" spans="1:17" x14ac:dyDescent="0.25">
      <c r="A45" s="70" t="s">
        <v>211</v>
      </c>
      <c r="B45" s="202"/>
      <c r="C45" s="201"/>
      <c r="D45" s="199">
        <f>E13</f>
        <v>434</v>
      </c>
      <c r="E45" s="199"/>
      <c r="F45" s="199"/>
      <c r="G45" s="202"/>
      <c r="H45" s="67"/>
      <c r="N45" s="248" t="s">
        <v>206</v>
      </c>
      <c r="P45" s="286" t="s">
        <v>585</v>
      </c>
      <c r="Q45">
        <v>4</v>
      </c>
    </row>
    <row r="46" spans="1:17" x14ac:dyDescent="0.25">
      <c r="A46" s="70" t="s">
        <v>212</v>
      </c>
      <c r="B46" s="202"/>
      <c r="C46" s="202"/>
      <c r="D46" s="199">
        <f>E14</f>
        <v>434</v>
      </c>
      <c r="E46" s="199"/>
      <c r="F46" s="199"/>
      <c r="G46" s="202"/>
      <c r="H46" s="67"/>
      <c r="N46" s="248" t="s">
        <v>207</v>
      </c>
      <c r="P46" s="286" t="s">
        <v>586</v>
      </c>
      <c r="Q46">
        <v>4</v>
      </c>
    </row>
    <row r="47" spans="1:17" x14ac:dyDescent="0.25">
      <c r="A47" s="70" t="s">
        <v>214</v>
      </c>
      <c r="B47" s="202"/>
      <c r="C47" s="202"/>
      <c r="D47" s="199">
        <f>E15</f>
        <v>434</v>
      </c>
      <c r="E47" s="199"/>
      <c r="F47" s="199"/>
      <c r="G47" s="202"/>
      <c r="H47" s="67"/>
      <c r="N47" s="248" t="s">
        <v>599</v>
      </c>
      <c r="P47" s="286" t="s">
        <v>600</v>
      </c>
      <c r="Q47">
        <v>6</v>
      </c>
    </row>
    <row r="48" spans="1:17" x14ac:dyDescent="0.25">
      <c r="A48" s="70" t="s">
        <v>236</v>
      </c>
      <c r="B48" s="202"/>
      <c r="C48" s="202"/>
      <c r="D48" s="199"/>
      <c r="E48" s="199">
        <f>E16</f>
        <v>434</v>
      </c>
      <c r="F48" s="199"/>
      <c r="G48" s="202"/>
      <c r="H48" s="67"/>
      <c r="N48" s="248" t="s">
        <v>209</v>
      </c>
      <c r="P48" s="286" t="s">
        <v>587</v>
      </c>
      <c r="Q48">
        <v>6</v>
      </c>
    </row>
    <row r="49" spans="1:17" x14ac:dyDescent="0.25">
      <c r="A49" s="70" t="s">
        <v>237</v>
      </c>
      <c r="B49" s="202"/>
      <c r="C49" s="202"/>
      <c r="D49" s="199"/>
      <c r="E49" s="199"/>
      <c r="F49" s="199"/>
      <c r="G49" s="202"/>
      <c r="H49" s="67"/>
      <c r="N49" s="248" t="s">
        <v>210</v>
      </c>
      <c r="P49" s="286" t="s">
        <v>570</v>
      </c>
      <c r="Q49">
        <v>6</v>
      </c>
    </row>
    <row r="50" spans="1:17" x14ac:dyDescent="0.25">
      <c r="A50" s="70" t="s">
        <v>238</v>
      </c>
      <c r="B50" s="202"/>
      <c r="C50" s="202"/>
      <c r="D50" s="199"/>
      <c r="E50" s="199"/>
      <c r="F50" s="199"/>
      <c r="G50" s="202"/>
      <c r="H50" s="67"/>
      <c r="N50" s="248" t="s">
        <v>230</v>
      </c>
      <c r="P50" s="286"/>
    </row>
    <row r="51" spans="1:17" x14ac:dyDescent="0.25">
      <c r="A51" s="70" t="s">
        <v>230</v>
      </c>
      <c r="B51" s="202"/>
      <c r="C51" s="201"/>
      <c r="D51" s="199"/>
      <c r="E51" s="199">
        <f>E17</f>
        <v>434</v>
      </c>
      <c r="F51" s="199"/>
      <c r="G51" s="202"/>
      <c r="H51" s="67"/>
      <c r="N51" s="248" t="s">
        <v>536</v>
      </c>
      <c r="P51" s="286" t="s">
        <v>571</v>
      </c>
      <c r="Q51">
        <v>23</v>
      </c>
    </row>
    <row r="52" spans="1:17" x14ac:dyDescent="0.25">
      <c r="A52" s="70" t="s">
        <v>142</v>
      </c>
      <c r="B52" s="199"/>
      <c r="C52" s="199"/>
      <c r="D52" s="199"/>
      <c r="E52" s="199"/>
      <c r="F52" s="199"/>
      <c r="G52" s="203"/>
      <c r="H52" s="67"/>
      <c r="N52" s="248" t="s">
        <v>537</v>
      </c>
      <c r="P52" s="286" t="s">
        <v>572</v>
      </c>
      <c r="Q52">
        <v>4</v>
      </c>
    </row>
    <row r="53" spans="1:17" x14ac:dyDescent="0.25">
      <c r="A53" s="72" t="s">
        <v>62</v>
      </c>
      <c r="B53" s="199"/>
      <c r="C53" s="199"/>
      <c r="D53" s="199">
        <v>2170</v>
      </c>
      <c r="E53" s="199"/>
      <c r="F53" s="204"/>
      <c r="G53" s="202"/>
      <c r="H53" s="67"/>
      <c r="N53" s="248" t="s">
        <v>538</v>
      </c>
      <c r="P53" s="286" t="s">
        <v>573</v>
      </c>
      <c r="Q53">
        <v>23</v>
      </c>
    </row>
    <row r="54" spans="1:17" x14ac:dyDescent="0.25">
      <c r="A54" s="72" t="s">
        <v>63</v>
      </c>
      <c r="B54" s="199"/>
      <c r="C54" s="199"/>
      <c r="D54" s="199"/>
      <c r="E54" s="199">
        <v>2170</v>
      </c>
      <c r="F54" s="204"/>
      <c r="G54" s="202"/>
      <c r="H54" s="67"/>
      <c r="N54" s="248" t="s">
        <v>539</v>
      </c>
      <c r="P54" s="286" t="s">
        <v>574</v>
      </c>
      <c r="Q54">
        <v>23</v>
      </c>
    </row>
    <row r="55" spans="1:17" x14ac:dyDescent="0.25">
      <c r="A55" s="73" t="s">
        <v>61</v>
      </c>
      <c r="B55" s="522">
        <f>SUM(B37:B53)</f>
        <v>1302</v>
      </c>
      <c r="C55" s="522">
        <f>SUM(C37:C53)</f>
        <v>1302</v>
      </c>
      <c r="D55" s="522">
        <f>SUM(D37:D53)</f>
        <v>4123</v>
      </c>
      <c r="E55" s="522">
        <f>SUM(E37:E54)</f>
        <v>3255</v>
      </c>
      <c r="F55" s="205"/>
      <c r="G55" s="206"/>
      <c r="H55" s="67"/>
      <c r="N55" s="248" t="s">
        <v>540</v>
      </c>
      <c r="P55" s="286" t="s">
        <v>575</v>
      </c>
      <c r="Q55">
        <v>6</v>
      </c>
    </row>
    <row r="56" spans="1:17" x14ac:dyDescent="0.25">
      <c r="C56" s="14"/>
      <c r="D56" s="14"/>
      <c r="F56" s="15"/>
      <c r="N56" s="248" t="s">
        <v>541</v>
      </c>
      <c r="P56" s="286" t="s">
        <v>576</v>
      </c>
      <c r="Q56">
        <v>4</v>
      </c>
    </row>
    <row r="57" spans="1:17" x14ac:dyDescent="0.25">
      <c r="C57" s="14"/>
      <c r="D57" s="16"/>
      <c r="E57" s="17"/>
    </row>
    <row r="62" spans="1:17" ht="24.75" customHeight="1" x14ac:dyDescent="0.25"/>
  </sheetData>
  <mergeCells count="2">
    <mergeCell ref="A1:E1"/>
    <mergeCell ref="A35:E35"/>
  </mergeCells>
  <pageMargins left="0.7" right="0.7" top="0.75" bottom="0.75" header="0.3" footer="0.3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71"/>
  <sheetViews>
    <sheetView topLeftCell="A4" workbookViewId="0">
      <selection activeCell="C9" sqref="C9"/>
    </sheetView>
  </sheetViews>
  <sheetFormatPr defaultRowHeight="15" x14ac:dyDescent="0.25"/>
  <cols>
    <col min="1" max="1" width="17.42578125" customWidth="1"/>
    <col min="2" max="2" width="15.28515625" customWidth="1"/>
    <col min="3" max="3" width="16.7109375" customWidth="1"/>
    <col min="4" max="4" width="17" customWidth="1"/>
    <col min="5" max="5" width="18.85546875" customWidth="1"/>
    <col min="6" max="6" width="16" customWidth="1"/>
    <col min="7" max="7" width="17.85546875" customWidth="1"/>
    <col min="8" max="9" width="9.140625" hidden="1" customWidth="1"/>
  </cols>
  <sheetData>
    <row r="1" spans="1:9" s="253" customFormat="1" ht="60.75" customHeight="1" x14ac:dyDescent="0.35">
      <c r="A1" s="254" t="s">
        <v>240</v>
      </c>
      <c r="B1" s="254"/>
      <c r="C1" s="254"/>
      <c r="D1" s="254"/>
      <c r="E1" s="254"/>
      <c r="F1" s="254"/>
      <c r="G1" s="254"/>
      <c r="H1" s="254"/>
      <c r="I1" s="254"/>
    </row>
    <row r="2" spans="1:9" s="253" customFormat="1" ht="29.25" customHeight="1" x14ac:dyDescent="0.35">
      <c r="A2" s="254"/>
      <c r="B2" s="255" t="s">
        <v>242</v>
      </c>
      <c r="C2" s="255" t="s">
        <v>243</v>
      </c>
      <c r="D2" s="255" t="s">
        <v>244</v>
      </c>
      <c r="E2" s="255" t="s">
        <v>245</v>
      </c>
      <c r="F2" s="255" t="s">
        <v>251</v>
      </c>
      <c r="G2" s="255"/>
      <c r="H2" s="254"/>
      <c r="I2" s="254"/>
    </row>
    <row r="3" spans="1:9" x14ac:dyDescent="0.25">
      <c r="A3" s="256" t="s">
        <v>119</v>
      </c>
      <c r="B3" s="140"/>
      <c r="C3" s="154">
        <f>'Utility&amp;Auto&amp;Misc. Worksheet'!C36</f>
        <v>84701.349600000001</v>
      </c>
      <c r="D3" s="154">
        <f>'Utility&amp;Auto&amp;Misc. Worksheet'!C66</f>
        <v>21070.699700000001</v>
      </c>
      <c r="E3" s="154">
        <f>'Utility&amp;Auto&amp;Misc. Worksheet'!C92</f>
        <v>3394.5709999999999</v>
      </c>
      <c r="F3" s="154">
        <f>'Utility&amp;Auto&amp;Misc. Worksheet'!C128</f>
        <v>3394.5812999999998</v>
      </c>
      <c r="G3" s="140"/>
      <c r="H3" s="43"/>
      <c r="I3" s="43"/>
    </row>
    <row r="4" spans="1:9" x14ac:dyDescent="0.25">
      <c r="A4" s="82" t="s">
        <v>120</v>
      </c>
      <c r="B4" s="147"/>
      <c r="C4" s="148">
        <f>'Utility&amp;Auto&amp;Misc. Worksheet'!D36</f>
        <v>2859.6610999999998</v>
      </c>
      <c r="D4" s="148">
        <f>'Utility&amp;Auto&amp;Misc. Worksheet'!D66</f>
        <v>1306.2254</v>
      </c>
      <c r="E4" s="148">
        <f>'Utility&amp;Auto&amp;Misc. Worksheet'!D92</f>
        <v>1189.5469999999998</v>
      </c>
      <c r="F4" s="148">
        <f>'Utility&amp;Auto&amp;Misc. Worksheet'!D128</f>
        <v>1189.5366999999999</v>
      </c>
      <c r="G4" s="147"/>
      <c r="H4" s="43"/>
      <c r="I4" s="43"/>
    </row>
    <row r="5" spans="1:9" x14ac:dyDescent="0.25">
      <c r="A5" s="256" t="s">
        <v>121</v>
      </c>
      <c r="B5" s="140"/>
      <c r="C5" s="154">
        <f>'Utility&amp;Auto&amp;Misc. Worksheet'!F36</f>
        <v>1612.3208000000002</v>
      </c>
      <c r="D5" s="154">
        <f>'Utility&amp;Auto&amp;Misc. Worksheet'!F66</f>
        <v>1612.3516999999999</v>
      </c>
      <c r="E5" s="154">
        <f>'Utility&amp;Auto&amp;Misc. Worksheet'!F92</f>
        <v>1612.3413999999998</v>
      </c>
      <c r="F5" s="154">
        <f>'Utility&amp;Auto&amp;Misc. Worksheet'!F128</f>
        <v>1612.3310999999999</v>
      </c>
      <c r="G5" s="140"/>
      <c r="H5" s="43"/>
      <c r="I5" s="43"/>
    </row>
    <row r="6" spans="1:9" x14ac:dyDescent="0.25">
      <c r="A6" s="82" t="s">
        <v>123</v>
      </c>
      <c r="B6" s="147"/>
      <c r="C6" s="148">
        <f>'Utility&amp;Auto&amp;Misc. Worksheet'!E36</f>
        <v>216.08369999999996</v>
      </c>
      <c r="D6" s="148">
        <f>'Utility&amp;Auto&amp;Misc. Worksheet'!E66</f>
        <v>516.06089999999983</v>
      </c>
      <c r="E6" s="148">
        <f>'Utility&amp;Auto&amp;Misc. Worksheet'!E92</f>
        <v>490.68169999999992</v>
      </c>
      <c r="F6" s="148">
        <f>'Utility&amp;Auto&amp;Misc. Worksheet'!E128</f>
        <v>490.66109999999992</v>
      </c>
      <c r="G6" s="147"/>
      <c r="H6" s="43"/>
      <c r="I6" s="43"/>
    </row>
    <row r="7" spans="1:9" x14ac:dyDescent="0.25">
      <c r="A7" s="256" t="s">
        <v>122</v>
      </c>
      <c r="B7" s="140"/>
      <c r="C7" s="154">
        <f>'Utility&amp;Auto&amp;Misc. Worksheet'!G36</f>
        <v>309</v>
      </c>
      <c r="D7" s="154">
        <f>'Utility&amp;Auto&amp;Misc. Worksheet'!G66</f>
        <v>309</v>
      </c>
      <c r="E7" s="154">
        <f>'Utility&amp;Auto&amp;Misc. Worksheet'!G92</f>
        <v>309</v>
      </c>
      <c r="F7" s="154">
        <f>'Utility&amp;Auto&amp;Misc. Worksheet'!G128</f>
        <v>309</v>
      </c>
      <c r="G7" s="140"/>
      <c r="H7" s="43"/>
      <c r="I7" s="43"/>
    </row>
    <row r="8" spans="1:9" x14ac:dyDescent="0.25">
      <c r="A8" s="82" t="s">
        <v>241</v>
      </c>
      <c r="B8" s="147"/>
      <c r="C8" s="147"/>
      <c r="D8" s="147"/>
      <c r="E8" s="148">
        <f>'Utility&amp;Auto&amp;Misc. Worksheet'!H92</f>
        <v>772.5</v>
      </c>
      <c r="F8" s="148">
        <f>'Utility&amp;Auto&amp;Misc. Worksheet'!H128</f>
        <v>772.5</v>
      </c>
      <c r="G8" s="147"/>
      <c r="H8" s="43"/>
      <c r="I8" s="43"/>
    </row>
    <row r="9" spans="1:9" x14ac:dyDescent="0.25">
      <c r="A9" s="256" t="s">
        <v>559</v>
      </c>
      <c r="B9" s="140"/>
      <c r="C9" s="154">
        <f>'Utility&amp;Auto&amp;Misc. Worksheet'!H36</f>
        <v>21000</v>
      </c>
      <c r="D9" s="140"/>
      <c r="E9" s="140"/>
      <c r="F9" s="140"/>
      <c r="G9" s="140"/>
      <c r="H9" s="43"/>
      <c r="I9" s="43"/>
    </row>
    <row r="10" spans="1:9" x14ac:dyDescent="0.25">
      <c r="A10" s="43"/>
      <c r="B10" s="147"/>
      <c r="C10" s="147"/>
      <c r="D10" s="147"/>
      <c r="E10" s="147"/>
      <c r="F10" s="147"/>
      <c r="G10" s="147"/>
      <c r="H10" s="43"/>
      <c r="I10" s="43"/>
    </row>
    <row r="11" spans="1:9" x14ac:dyDescent="0.25">
      <c r="A11" s="36"/>
      <c r="B11" s="140"/>
      <c r="C11" s="140"/>
      <c r="D11" s="140"/>
      <c r="E11" s="140"/>
      <c r="F11" s="140"/>
      <c r="G11" s="140"/>
      <c r="H11" s="43"/>
      <c r="I11" s="43"/>
    </row>
    <row r="12" spans="1:9" x14ac:dyDescent="0.25">
      <c r="A12" s="43"/>
      <c r="B12" s="147"/>
      <c r="C12" s="147"/>
      <c r="D12" s="147"/>
      <c r="E12" s="147"/>
      <c r="F12" s="147"/>
      <c r="G12" s="147"/>
      <c r="H12" s="43"/>
      <c r="I12" s="43"/>
    </row>
    <row r="13" spans="1:9" x14ac:dyDescent="0.25">
      <c r="A13" s="36"/>
      <c r="B13" s="140"/>
      <c r="C13" s="140"/>
      <c r="D13" s="140"/>
      <c r="E13" s="140"/>
      <c r="F13" s="140"/>
      <c r="G13" s="140"/>
      <c r="H13" s="43"/>
      <c r="I13" s="43"/>
    </row>
    <row r="14" spans="1:9" x14ac:dyDescent="0.25">
      <c r="A14" s="43"/>
      <c r="B14" s="147"/>
      <c r="C14" s="147"/>
      <c r="D14" s="147"/>
      <c r="E14" s="147"/>
      <c r="F14" s="147"/>
      <c r="G14" s="147"/>
      <c r="H14" s="43"/>
      <c r="I14" s="43"/>
    </row>
    <row r="15" spans="1:9" x14ac:dyDescent="0.25">
      <c r="A15" s="36"/>
      <c r="B15" s="140"/>
      <c r="C15" s="140"/>
      <c r="D15" s="140"/>
      <c r="E15" s="140"/>
      <c r="F15" s="140"/>
      <c r="G15" s="140"/>
      <c r="H15" s="43"/>
      <c r="I15" s="43"/>
    </row>
    <row r="16" spans="1:9" x14ac:dyDescent="0.25">
      <c r="A16" s="43"/>
      <c r="B16" s="147"/>
      <c r="C16" s="147"/>
      <c r="D16" s="147"/>
      <c r="E16" s="147"/>
      <c r="F16" s="147"/>
      <c r="G16" s="147"/>
      <c r="H16" s="43"/>
      <c r="I16" s="43"/>
    </row>
    <row r="17" spans="1:9" x14ac:dyDescent="0.25">
      <c r="A17" s="36"/>
      <c r="B17" s="140"/>
      <c r="C17" s="140"/>
      <c r="D17" s="140"/>
      <c r="E17" s="140"/>
      <c r="F17" s="140"/>
      <c r="G17" s="140"/>
      <c r="H17" s="43"/>
      <c r="I17" s="43"/>
    </row>
    <row r="18" spans="1:9" x14ac:dyDescent="0.25">
      <c r="A18" s="43"/>
      <c r="B18" s="147"/>
      <c r="C18" s="147"/>
      <c r="D18" s="147"/>
      <c r="E18" s="147"/>
      <c r="F18" s="147"/>
      <c r="G18" s="147"/>
      <c r="H18" s="43"/>
      <c r="I18" s="43"/>
    </row>
    <row r="19" spans="1:9" x14ac:dyDescent="0.25">
      <c r="A19" s="36"/>
      <c r="B19" s="140"/>
      <c r="C19" s="140"/>
      <c r="D19" s="140"/>
      <c r="E19" s="140"/>
      <c r="F19" s="140"/>
      <c r="G19" s="140"/>
      <c r="H19" s="43"/>
      <c r="I19" s="43"/>
    </row>
    <row r="20" spans="1:9" x14ac:dyDescent="0.25">
      <c r="A20" s="43"/>
      <c r="B20" s="147"/>
      <c r="C20" s="147"/>
      <c r="D20" s="147"/>
      <c r="E20" s="147"/>
      <c r="F20" s="147"/>
      <c r="G20" s="147"/>
      <c r="H20" s="43"/>
      <c r="I20" s="43"/>
    </row>
    <row r="21" spans="1:9" x14ac:dyDescent="0.25">
      <c r="A21" s="36"/>
      <c r="B21" s="140"/>
      <c r="C21" s="140"/>
      <c r="D21" s="140"/>
      <c r="E21" s="140"/>
      <c r="F21" s="140"/>
      <c r="G21" s="140"/>
      <c r="H21" s="43"/>
      <c r="I21" s="43"/>
    </row>
    <row r="22" spans="1:9" x14ac:dyDescent="0.25">
      <c r="A22" s="43"/>
      <c r="B22" s="147" t="s">
        <v>4</v>
      </c>
      <c r="C22" s="258">
        <f>SUM(C3:C21)</f>
        <v>110698.4152</v>
      </c>
      <c r="D22" s="258">
        <f>SUM(D3:D21)</f>
        <v>24814.3377</v>
      </c>
      <c r="E22" s="258">
        <f>SUM(E3:E21)</f>
        <v>7768.6410999999998</v>
      </c>
      <c r="F22" s="258">
        <f>SUM(F3:F21)</f>
        <v>7768.6102000000001</v>
      </c>
      <c r="G22" s="147"/>
      <c r="H22" s="43"/>
      <c r="I22" s="43"/>
    </row>
    <row r="23" spans="1:9" x14ac:dyDescent="0.25">
      <c r="A23" s="36"/>
      <c r="B23" s="140"/>
      <c r="C23" s="140"/>
      <c r="D23" s="140"/>
      <c r="E23" s="140"/>
      <c r="F23" s="140"/>
      <c r="G23" s="140"/>
      <c r="H23" s="43"/>
      <c r="I23" s="43"/>
    </row>
    <row r="24" spans="1:9" x14ac:dyDescent="0.25">
      <c r="A24" s="43"/>
      <c r="B24" s="147"/>
      <c r="C24" s="147"/>
      <c r="D24" s="147"/>
      <c r="E24" s="147"/>
      <c r="F24" s="147"/>
      <c r="G24" s="147"/>
      <c r="H24" s="43"/>
      <c r="I24" s="43"/>
    </row>
    <row r="25" spans="1:9" x14ac:dyDescent="0.25">
      <c r="A25" s="36"/>
      <c r="B25" s="140"/>
      <c r="C25" s="140"/>
      <c r="D25" s="140"/>
      <c r="E25" s="140"/>
      <c r="F25" s="140"/>
      <c r="G25" s="140"/>
      <c r="H25" s="43"/>
      <c r="I25" s="43"/>
    </row>
    <row r="26" spans="1:9" x14ac:dyDescent="0.25">
      <c r="A26" s="43"/>
      <c r="B26" s="147"/>
      <c r="C26" s="147"/>
      <c r="D26" s="147"/>
      <c r="E26" s="147"/>
      <c r="F26" s="147"/>
      <c r="G26" s="147"/>
      <c r="H26" s="43"/>
      <c r="I26" s="43"/>
    </row>
    <row r="27" spans="1:9" x14ac:dyDescent="0.25">
      <c r="A27" s="36"/>
      <c r="B27" s="140"/>
      <c r="C27" s="140"/>
      <c r="D27" s="140"/>
      <c r="E27" s="140"/>
      <c r="F27" s="140"/>
      <c r="G27" s="140"/>
      <c r="H27" s="43"/>
      <c r="I27" s="43"/>
    </row>
    <row r="28" spans="1:9" x14ac:dyDescent="0.25">
      <c r="A28" s="43"/>
      <c r="B28" s="147"/>
      <c r="C28" s="147"/>
      <c r="D28" s="147"/>
      <c r="E28" s="147"/>
      <c r="F28" s="147"/>
      <c r="G28" s="147"/>
      <c r="H28" s="43"/>
      <c r="I28" s="43"/>
    </row>
    <row r="29" spans="1:9" x14ac:dyDescent="0.25">
      <c r="A29" s="36"/>
      <c r="B29" s="140"/>
      <c r="C29" s="140"/>
      <c r="D29" s="140"/>
      <c r="E29" s="140"/>
      <c r="F29" s="140"/>
      <c r="G29" s="140"/>
      <c r="H29" s="43"/>
      <c r="I29" s="43"/>
    </row>
    <row r="30" spans="1:9" x14ac:dyDescent="0.25">
      <c r="A30" s="43"/>
      <c r="B30" s="147"/>
      <c r="C30" s="147"/>
      <c r="D30" s="147"/>
      <c r="E30" s="147"/>
      <c r="F30" s="147"/>
      <c r="G30" s="147"/>
      <c r="H30" s="43"/>
      <c r="I30" s="43"/>
    </row>
    <row r="31" spans="1:9" ht="21" x14ac:dyDescent="0.35">
      <c r="A31" s="254" t="s">
        <v>246</v>
      </c>
      <c r="B31" s="254"/>
      <c r="C31" s="254"/>
      <c r="D31" s="254"/>
      <c r="E31" s="254"/>
      <c r="F31" s="254"/>
      <c r="G31" s="254"/>
      <c r="H31" s="43"/>
      <c r="I31" s="43"/>
    </row>
    <row r="32" spans="1:9" ht="21" x14ac:dyDescent="0.35">
      <c r="A32" s="254"/>
      <c r="B32" s="255"/>
      <c r="C32" s="255" t="s">
        <v>243</v>
      </c>
      <c r="D32" s="255" t="s">
        <v>244</v>
      </c>
      <c r="E32" s="255" t="s">
        <v>245</v>
      </c>
      <c r="F32" s="255" t="s">
        <v>251</v>
      </c>
      <c r="G32" s="255"/>
      <c r="H32" s="43"/>
      <c r="I32" s="43"/>
    </row>
    <row r="33" spans="1:9" x14ac:dyDescent="0.25">
      <c r="A33" s="256" t="s">
        <v>247</v>
      </c>
      <c r="B33" s="140"/>
      <c r="C33" s="154">
        <f>'Utility&amp;Auto&amp;Misc. Worksheet'!F166</f>
        <v>1661.8638000000001</v>
      </c>
      <c r="D33" s="154">
        <f>'Utility&amp;Auto&amp;Misc. Worksheet'!G199</f>
        <v>2565.1532000000007</v>
      </c>
      <c r="E33" s="154">
        <f>'Utility&amp;Auto&amp;Misc. Worksheet'!G233</f>
        <v>2077.4481999999998</v>
      </c>
      <c r="F33" s="154">
        <f>'Utility&amp;Auto&amp;Misc. Worksheet'!G268</f>
        <v>2359.4622000000004</v>
      </c>
      <c r="G33" s="140"/>
      <c r="H33" s="43"/>
      <c r="I33" s="43"/>
    </row>
    <row r="34" spans="1:9" x14ac:dyDescent="0.25">
      <c r="A34" s="82" t="s">
        <v>248</v>
      </c>
      <c r="B34" s="147"/>
      <c r="C34" s="148">
        <f>'Utility&amp;Auto&amp;Misc. Worksheet'!K166</f>
        <v>4120</v>
      </c>
      <c r="D34" s="148">
        <f>'Utility&amp;Auto&amp;Misc. Worksheet'!M199</f>
        <v>4120</v>
      </c>
      <c r="E34" s="148">
        <f>'Utility&amp;Auto&amp;Misc. Worksheet'!M233</f>
        <v>10300</v>
      </c>
      <c r="F34" s="148">
        <f>'Utility&amp;Auto&amp;Misc. Worksheet'!M268</f>
        <v>8240</v>
      </c>
      <c r="G34" s="147"/>
      <c r="H34" s="43"/>
      <c r="I34" s="43"/>
    </row>
    <row r="35" spans="1:9" x14ac:dyDescent="0.25">
      <c r="A35" s="256" t="s">
        <v>249</v>
      </c>
      <c r="B35" s="140"/>
      <c r="C35" s="154">
        <f>'Utility&amp;Auto&amp;Misc. Worksheet'!G166</f>
        <v>401.7</v>
      </c>
      <c r="D35" s="154">
        <f>'Utility&amp;Auto&amp;Misc. Worksheet'!H199</f>
        <v>401.7</v>
      </c>
      <c r="E35" s="154">
        <f>'Utility&amp;Auto&amp;Misc. Worksheet'!H233</f>
        <v>234.32499999999999</v>
      </c>
      <c r="F35" s="154">
        <f>'Utility&amp;Auto&amp;Misc. Worksheet'!H268</f>
        <v>1305.5250000000001</v>
      </c>
      <c r="G35" s="140"/>
      <c r="H35" s="43"/>
      <c r="I35" s="43"/>
    </row>
    <row r="36" spans="1:9" x14ac:dyDescent="0.25">
      <c r="A36" s="82" t="s">
        <v>250</v>
      </c>
      <c r="B36" s="147"/>
      <c r="C36" s="148">
        <f>'Utility&amp;Auto&amp;Misc. Worksheet'!K199</f>
        <v>0</v>
      </c>
      <c r="D36" s="148">
        <f>'Utility&amp;Auto&amp;Misc. Worksheet'!K199</f>
        <v>0</v>
      </c>
      <c r="E36" s="148">
        <f>'Utility&amp;Auto&amp;Misc. Worksheet'!K233</f>
        <v>0</v>
      </c>
      <c r="F36" s="148">
        <f>'Utility&amp;Auto&amp;Misc. Worksheet'!K268</f>
        <v>0</v>
      </c>
      <c r="G36" s="147"/>
      <c r="H36" s="43"/>
      <c r="I36" s="43"/>
    </row>
    <row r="37" spans="1:9" x14ac:dyDescent="0.25">
      <c r="A37" s="256" t="s">
        <v>256</v>
      </c>
      <c r="B37" s="140"/>
      <c r="C37" s="154">
        <f>'Utility&amp;Auto&amp;Misc. Worksheet'!H166</f>
        <v>771.96440000000007</v>
      </c>
      <c r="D37" s="154">
        <f>'Utility&amp;Auto&amp;Misc. Worksheet'!I199</f>
        <v>1420.7098999999998</v>
      </c>
      <c r="E37" s="154">
        <f>'Utility&amp;Auto&amp;Misc. Worksheet'!I233</f>
        <v>3739.7034000000003</v>
      </c>
      <c r="F37" s="154">
        <f>'Utility&amp;Auto&amp;Misc. Worksheet'!I268</f>
        <v>212.18</v>
      </c>
      <c r="G37" s="140"/>
      <c r="H37" s="43"/>
      <c r="I37" s="43"/>
    </row>
    <row r="38" spans="1:9" x14ac:dyDescent="0.25">
      <c r="A38" s="82"/>
      <c r="B38" s="147"/>
      <c r="C38" s="148"/>
      <c r="D38" s="148"/>
      <c r="E38" s="148"/>
      <c r="F38" s="148"/>
      <c r="G38" s="147"/>
      <c r="H38" s="43"/>
      <c r="I38" s="43"/>
    </row>
    <row r="39" spans="1:9" x14ac:dyDescent="0.25">
      <c r="A39" s="256"/>
      <c r="B39" s="140"/>
      <c r="C39" s="154"/>
      <c r="D39" s="154"/>
      <c r="E39" s="154"/>
      <c r="F39" s="154"/>
      <c r="G39" s="140"/>
      <c r="H39" s="43"/>
      <c r="I39" s="43"/>
    </row>
    <row r="40" spans="1:9" x14ac:dyDescent="0.25">
      <c r="A40" s="43"/>
      <c r="B40" s="147"/>
      <c r="C40" s="148"/>
      <c r="D40" s="148"/>
      <c r="E40" s="148"/>
      <c r="F40" s="148"/>
      <c r="G40" s="147"/>
      <c r="H40" s="43"/>
      <c r="I40" s="43"/>
    </row>
    <row r="41" spans="1:9" x14ac:dyDescent="0.25">
      <c r="A41" s="36"/>
      <c r="B41" s="140"/>
      <c r="C41" s="154"/>
      <c r="D41" s="154"/>
      <c r="E41" s="154"/>
      <c r="F41" s="154"/>
      <c r="G41" s="140"/>
      <c r="H41" s="43"/>
      <c r="I41" s="43"/>
    </row>
    <row r="42" spans="1:9" x14ac:dyDescent="0.25">
      <c r="A42" s="43"/>
      <c r="B42" s="147"/>
      <c r="C42" s="148"/>
      <c r="D42" s="148"/>
      <c r="E42" s="148"/>
      <c r="F42" s="148"/>
      <c r="G42" s="147"/>
      <c r="H42" s="43"/>
      <c r="I42" s="43"/>
    </row>
    <row r="43" spans="1:9" x14ac:dyDescent="0.25">
      <c r="A43" s="36"/>
      <c r="B43" s="140"/>
      <c r="C43" s="154"/>
      <c r="D43" s="154"/>
      <c r="E43" s="154"/>
      <c r="F43" s="154"/>
      <c r="G43" s="140"/>
      <c r="H43" s="43"/>
      <c r="I43" s="43"/>
    </row>
    <row r="44" spans="1:9" x14ac:dyDescent="0.25">
      <c r="A44" s="43"/>
      <c r="B44" s="147"/>
      <c r="C44" s="148"/>
      <c r="D44" s="148"/>
      <c r="E44" s="148"/>
      <c r="F44" s="148"/>
      <c r="G44" s="147"/>
      <c r="H44" s="43"/>
      <c r="I44" s="43"/>
    </row>
    <row r="45" spans="1:9" x14ac:dyDescent="0.25">
      <c r="A45" s="36"/>
      <c r="B45" s="140"/>
      <c r="C45" s="154"/>
      <c r="D45" s="154"/>
      <c r="E45" s="154"/>
      <c r="F45" s="154"/>
      <c r="G45" s="140"/>
      <c r="H45" s="43"/>
      <c r="I45" s="43"/>
    </row>
    <row r="46" spans="1:9" x14ac:dyDescent="0.25">
      <c r="A46" s="43"/>
      <c r="B46" s="147"/>
      <c r="C46" s="148"/>
      <c r="D46" s="148"/>
      <c r="E46" s="148"/>
      <c r="F46" s="148"/>
      <c r="G46" s="147"/>
      <c r="H46" s="43"/>
      <c r="I46" s="43"/>
    </row>
    <row r="47" spans="1:9" x14ac:dyDescent="0.25">
      <c r="A47" s="36"/>
      <c r="B47" s="140"/>
      <c r="C47" s="154"/>
      <c r="D47" s="154"/>
      <c r="E47" s="154"/>
      <c r="F47" s="154"/>
      <c r="G47" s="140"/>
      <c r="H47" s="43"/>
      <c r="I47" s="43"/>
    </row>
    <row r="48" spans="1:9" x14ac:dyDescent="0.25">
      <c r="A48" s="43"/>
      <c r="B48" s="147"/>
      <c r="C48" s="148"/>
      <c r="D48" s="148"/>
      <c r="E48" s="148"/>
      <c r="F48" s="148"/>
      <c r="G48" s="147"/>
      <c r="H48" s="43"/>
      <c r="I48" s="43"/>
    </row>
    <row r="49" spans="1:9" x14ac:dyDescent="0.25">
      <c r="A49" s="36"/>
      <c r="B49" s="140"/>
      <c r="C49" s="154"/>
      <c r="D49" s="154"/>
      <c r="E49" s="154"/>
      <c r="F49" s="154"/>
      <c r="G49" s="140"/>
      <c r="H49" s="43"/>
      <c r="I49" s="43"/>
    </row>
    <row r="50" spans="1:9" x14ac:dyDescent="0.25">
      <c r="A50" s="43"/>
      <c r="B50" s="147"/>
      <c r="C50" s="148"/>
      <c r="D50" s="148"/>
      <c r="E50" s="148"/>
      <c r="F50" s="148"/>
      <c r="G50" s="147"/>
      <c r="H50" s="43"/>
      <c r="I50" s="43"/>
    </row>
    <row r="51" spans="1:9" x14ac:dyDescent="0.25">
      <c r="A51" s="36"/>
      <c r="B51" s="140"/>
      <c r="C51" s="154"/>
      <c r="D51" s="154"/>
      <c r="E51" s="154"/>
      <c r="F51" s="154"/>
      <c r="G51" s="140"/>
      <c r="H51" s="43"/>
      <c r="I51" s="43"/>
    </row>
    <row r="52" spans="1:9" x14ac:dyDescent="0.25">
      <c r="A52" s="43"/>
      <c r="B52" s="147" t="s">
        <v>4</v>
      </c>
      <c r="C52" s="258">
        <f>SUM(C33:C51)</f>
        <v>6955.5281999999997</v>
      </c>
      <c r="D52" s="258">
        <f>SUM(D33:D51)</f>
        <v>8507.5630999999994</v>
      </c>
      <c r="E52" s="258">
        <f>SUM(E33:E51)</f>
        <v>16351.4766</v>
      </c>
      <c r="F52" s="258">
        <f>SUM(F33:F51)</f>
        <v>12117.1672</v>
      </c>
      <c r="G52" s="147"/>
      <c r="H52" s="43"/>
      <c r="I52" s="43"/>
    </row>
    <row r="53" spans="1:9" x14ac:dyDescent="0.25">
      <c r="A53" s="36"/>
      <c r="B53" s="140"/>
      <c r="C53" s="140"/>
      <c r="D53" s="140"/>
      <c r="E53" s="140"/>
      <c r="F53" s="140"/>
      <c r="G53" s="140"/>
      <c r="H53" s="43"/>
      <c r="I53" s="43"/>
    </row>
    <row r="54" spans="1:9" x14ac:dyDescent="0.25">
      <c r="A54" s="43"/>
      <c r="B54" s="147"/>
      <c r="C54" s="147"/>
      <c r="D54" s="147"/>
      <c r="E54" s="147"/>
      <c r="F54" s="147"/>
      <c r="G54" s="147"/>
      <c r="H54" s="43"/>
      <c r="I54" s="43"/>
    </row>
    <row r="55" spans="1:9" x14ac:dyDescent="0.25">
      <c r="A55" s="36"/>
      <c r="B55" s="140"/>
      <c r="C55" s="140"/>
      <c r="D55" s="140"/>
      <c r="E55" s="140"/>
      <c r="F55" s="140"/>
      <c r="G55" s="140"/>
      <c r="H55" s="43"/>
      <c r="I55" s="43"/>
    </row>
    <row r="56" spans="1:9" x14ac:dyDescent="0.25">
      <c r="A56" s="43"/>
      <c r="B56" s="147"/>
      <c r="C56" s="147"/>
      <c r="D56" s="147"/>
      <c r="E56" s="147"/>
      <c r="F56" s="147"/>
      <c r="G56" s="147"/>
      <c r="H56" s="43"/>
      <c r="I56" s="43"/>
    </row>
    <row r="57" spans="1:9" x14ac:dyDescent="0.25">
      <c r="A57" s="36"/>
      <c r="B57" s="140"/>
      <c r="C57" s="140"/>
      <c r="D57" s="140"/>
      <c r="E57" s="140"/>
      <c r="F57" s="140"/>
      <c r="G57" s="140"/>
      <c r="H57" s="43"/>
      <c r="I57" s="43"/>
    </row>
    <row r="58" spans="1:9" x14ac:dyDescent="0.25">
      <c r="A58" s="43"/>
      <c r="B58" s="147"/>
      <c r="C58" s="147"/>
      <c r="D58" s="147"/>
      <c r="E58" s="147"/>
      <c r="F58" s="147"/>
      <c r="G58" s="147"/>
      <c r="H58" s="43"/>
      <c r="I58" s="43"/>
    </row>
    <row r="59" spans="1:9" x14ac:dyDescent="0.25">
      <c r="A59" s="36"/>
      <c r="B59" s="140"/>
      <c r="C59" s="140"/>
      <c r="D59" s="140"/>
      <c r="E59" s="140"/>
      <c r="F59" s="140"/>
      <c r="G59" s="140"/>
      <c r="H59" s="43"/>
      <c r="I59" s="43"/>
    </row>
    <row r="60" spans="1:9" x14ac:dyDescent="0.25">
      <c r="A60" s="43"/>
      <c r="B60" s="147"/>
      <c r="C60" s="147"/>
      <c r="D60" s="147"/>
      <c r="E60" s="147"/>
      <c r="F60" s="147"/>
      <c r="G60" s="147"/>
      <c r="H60" s="43"/>
      <c r="I60" s="43"/>
    </row>
    <row r="61" spans="1:9" x14ac:dyDescent="0.25">
      <c r="A61" s="43"/>
      <c r="B61" s="43"/>
      <c r="C61" s="43"/>
      <c r="D61" s="43"/>
      <c r="E61" s="43"/>
      <c r="F61" s="43"/>
      <c r="G61" s="43"/>
      <c r="H61" s="43"/>
      <c r="I61" s="43"/>
    </row>
    <row r="62" spans="1:9" x14ac:dyDescent="0.25">
      <c r="A62" s="43"/>
      <c r="B62" s="43"/>
      <c r="C62" s="43"/>
      <c r="D62" s="43"/>
      <c r="E62" s="43"/>
      <c r="F62" s="43"/>
      <c r="G62" s="43"/>
      <c r="H62" s="43"/>
      <c r="I62" s="43"/>
    </row>
    <row r="63" spans="1:9" x14ac:dyDescent="0.25">
      <c r="A63" s="43"/>
      <c r="B63" s="43"/>
      <c r="C63" s="43"/>
      <c r="D63" s="43"/>
      <c r="E63" s="43"/>
      <c r="F63" s="43"/>
      <c r="G63" s="43"/>
      <c r="H63" s="43"/>
      <c r="I63" s="43"/>
    </row>
    <row r="64" spans="1:9" ht="21" x14ac:dyDescent="0.35">
      <c r="A64" s="254" t="s">
        <v>246</v>
      </c>
      <c r="B64" s="254"/>
      <c r="C64" s="254"/>
      <c r="D64" s="254" t="s">
        <v>295</v>
      </c>
      <c r="E64" s="254"/>
      <c r="F64" s="254"/>
      <c r="G64" s="254"/>
      <c r="H64" s="43"/>
      <c r="I64" s="43"/>
    </row>
    <row r="65" spans="1:9" ht="21" x14ac:dyDescent="0.35">
      <c r="A65" s="254"/>
      <c r="B65" s="255"/>
      <c r="C65" s="255" t="s">
        <v>243</v>
      </c>
      <c r="D65" s="255" t="s">
        <v>244</v>
      </c>
      <c r="E65" s="255" t="s">
        <v>245</v>
      </c>
      <c r="F65" s="255" t="s">
        <v>251</v>
      </c>
      <c r="G65" s="255"/>
      <c r="H65" s="43"/>
      <c r="I65" s="43"/>
    </row>
    <row r="66" spans="1:9" x14ac:dyDescent="0.25">
      <c r="A66" s="256" t="s">
        <v>296</v>
      </c>
      <c r="B66" s="140"/>
      <c r="C66" s="154">
        <f>'Utility&amp;Auto&amp;Misc. Worksheet'!A301</f>
        <v>1.03</v>
      </c>
      <c r="D66" s="154">
        <f>'Utility&amp;Auto&amp;Misc. Worksheet'!A334</f>
        <v>0</v>
      </c>
      <c r="E66" s="154">
        <f>'Utility&amp;Auto&amp;Misc. Worksheet'!A368</f>
        <v>0</v>
      </c>
      <c r="F66" s="154">
        <f>'Utility&amp;Auto&amp;Misc. Worksheet'!J403</f>
        <v>0</v>
      </c>
      <c r="G66" s="140"/>
      <c r="H66" s="43"/>
      <c r="I66" s="43"/>
    </row>
    <row r="67" spans="1:9" x14ac:dyDescent="0.25">
      <c r="A67" s="82" t="s">
        <v>73</v>
      </c>
      <c r="B67" s="147"/>
      <c r="C67" s="148">
        <f>'Utility&amp;Auto&amp;Misc. Worksheet'!B301</f>
        <v>19570</v>
      </c>
      <c r="D67" s="148">
        <f>'Utility&amp;Auto&amp;Misc. Worksheet'!B334</f>
        <v>19053.393200000002</v>
      </c>
      <c r="E67" s="148">
        <f>'Utility&amp;Auto&amp;Misc. Worksheet'!B368</f>
        <v>3100.1248999999998</v>
      </c>
      <c r="F67" s="148">
        <f>'Utility&amp;Auto&amp;Misc. Worksheet'!B403</f>
        <v>8202.8581999999988</v>
      </c>
      <c r="G67" s="147"/>
      <c r="H67" s="43"/>
      <c r="I67" s="43"/>
    </row>
    <row r="68" spans="1:9" x14ac:dyDescent="0.25">
      <c r="A68" s="256" t="s">
        <v>74</v>
      </c>
      <c r="B68" s="140"/>
      <c r="C68" s="154">
        <f>'Utility&amp;Auto&amp;Misc. Worksheet'!C301</f>
        <v>46350</v>
      </c>
      <c r="D68" s="154">
        <f>'Utility&amp;Auto&amp;Misc. Worksheet'!C334</f>
        <v>4160.17</v>
      </c>
      <c r="E68" s="154">
        <f>'Utility&amp;Auto&amp;Misc. Worksheet'!C368</f>
        <v>2289.3809999999999</v>
      </c>
      <c r="F68" s="154">
        <f>'Utility&amp;Auto&amp;Misc. Worksheet'!C403</f>
        <v>74.613199999999992</v>
      </c>
      <c r="G68" s="140"/>
      <c r="H68" s="43"/>
      <c r="I68" s="43"/>
    </row>
    <row r="69" spans="1:9" x14ac:dyDescent="0.25">
      <c r="A69" s="82" t="s">
        <v>91</v>
      </c>
      <c r="B69" s="147"/>
      <c r="C69" s="148">
        <f>'Utility&amp;Auto&amp;Misc. Worksheet'!D301</f>
        <v>816.6046</v>
      </c>
      <c r="D69" s="148">
        <f>'Utility&amp;Auto&amp;Misc. Worksheet'!D334</f>
        <v>3052.4874</v>
      </c>
      <c r="E69" s="148">
        <f>'Utility&amp;Auto&amp;Misc. Worksheet'!D368</f>
        <v>2770.0717</v>
      </c>
      <c r="F69" s="148">
        <f>'Utility&amp;Auto&amp;Misc. Worksheet'!D403</f>
        <v>6519.2717000000002</v>
      </c>
      <c r="G69" s="147"/>
      <c r="H69" s="43"/>
      <c r="I69" s="43"/>
    </row>
    <row r="70" spans="1:9" x14ac:dyDescent="0.25">
      <c r="A70" s="256" t="s">
        <v>75</v>
      </c>
      <c r="B70" s="140"/>
      <c r="C70" s="154">
        <f>'Utility&amp;Auto&amp;Misc. Worksheet'!E301</f>
        <v>3234.7356</v>
      </c>
      <c r="D70" s="154">
        <f>'Utility&amp;Auto&amp;Misc. Worksheet'!E334</f>
        <v>14581.8439</v>
      </c>
      <c r="E70" s="154">
        <f>'Utility&amp;Auto&amp;Misc. Worksheet'!E368</f>
        <v>1014.4161</v>
      </c>
      <c r="F70" s="154">
        <f>'Utility&amp;Auto&amp;Misc. Worksheet'!E403</f>
        <v>160.2268</v>
      </c>
      <c r="G70" s="140"/>
      <c r="H70" s="43"/>
      <c r="I70" s="43"/>
    </row>
    <row r="71" spans="1:9" x14ac:dyDescent="0.25">
      <c r="A71" s="82" t="s">
        <v>76</v>
      </c>
      <c r="B71" s="147"/>
      <c r="C71" s="148">
        <f>'Utility&amp;Auto&amp;Misc. Worksheet'!F301</f>
        <v>22660</v>
      </c>
      <c r="D71" s="148">
        <f>'Utility&amp;Auto&amp;Misc. Worksheet'!F334</f>
        <v>10300</v>
      </c>
      <c r="E71" s="148">
        <f>'Utility&amp;Auto&amp;Misc. Worksheet'!F368</f>
        <v>0</v>
      </c>
      <c r="F71" s="148">
        <f>'Utility&amp;Auto&amp;Misc. Worksheet'!F403</f>
        <v>0</v>
      </c>
      <c r="G71" s="147"/>
      <c r="H71" s="43"/>
      <c r="I71" s="43"/>
    </row>
    <row r="72" spans="1:9" x14ac:dyDescent="0.25">
      <c r="A72" s="256" t="s">
        <v>95</v>
      </c>
      <c r="B72" s="140"/>
      <c r="C72" s="154">
        <f>'Utility&amp;Auto&amp;Misc. Worksheet'!G301</f>
        <v>5366.4647999999997</v>
      </c>
      <c r="D72" s="154">
        <f>'Utility&amp;Auto&amp;Misc. Worksheet'!G334</f>
        <v>13476.004999999999</v>
      </c>
      <c r="E72" s="154">
        <f>'Utility&amp;Auto&amp;Misc. Worksheet'!G368</f>
        <v>4377.9119999999994</v>
      </c>
      <c r="F72" s="154">
        <f>'Utility&amp;Auto&amp;Misc. Worksheet'!G403</f>
        <v>4108.6184999999996</v>
      </c>
      <c r="G72" s="140"/>
      <c r="H72" s="43"/>
      <c r="I72" s="43"/>
    </row>
    <row r="73" spans="1:9" x14ac:dyDescent="0.25">
      <c r="A73" s="82" t="s">
        <v>87</v>
      </c>
      <c r="B73" s="147"/>
      <c r="C73" s="148">
        <f>'Utility&amp;Auto&amp;Misc. Worksheet'!H301</f>
        <v>4571.4386999999997</v>
      </c>
      <c r="D73" s="148">
        <f>'Utility&amp;Auto&amp;Misc. Worksheet'!H334</f>
        <v>4671.7298000000001</v>
      </c>
      <c r="E73" s="148">
        <f>'Utility&amp;Auto&amp;Misc. Worksheet'!H368</f>
        <v>1927.8715999999999</v>
      </c>
      <c r="F73" s="148">
        <f>'Utility&amp;Auto&amp;Misc. Worksheet'!H403</f>
        <v>5678.9359000000004</v>
      </c>
      <c r="G73" s="147"/>
      <c r="H73" s="43"/>
      <c r="I73" s="43"/>
    </row>
    <row r="74" spans="1:9" x14ac:dyDescent="0.25">
      <c r="A74" s="256" t="s">
        <v>89</v>
      </c>
      <c r="B74" s="140"/>
      <c r="C74" s="154">
        <f>'Utility&amp;Auto&amp;Misc. Worksheet'!I301</f>
        <v>2985.7743</v>
      </c>
      <c r="D74" s="154">
        <f>'Utility&amp;Auto&amp;Misc. Worksheet'!I334</f>
        <v>3072.3766999999998</v>
      </c>
      <c r="E74" s="154">
        <f>'Utility&amp;Auto&amp;Misc. Worksheet'!I368</f>
        <v>503.02109999999999</v>
      </c>
      <c r="F74" s="154">
        <f>'Utility&amp;Auto&amp;Misc. Worksheet'!I403</f>
        <v>521.77739999999994</v>
      </c>
      <c r="G74" s="140"/>
      <c r="H74" s="43"/>
      <c r="I74" s="43"/>
    </row>
    <row r="75" spans="1:9" x14ac:dyDescent="0.25">
      <c r="A75" s="82" t="s">
        <v>297</v>
      </c>
      <c r="B75" s="147"/>
      <c r="C75" s="148">
        <f>'Utility&amp;Auto&amp;Misc. Worksheet'!K301</f>
        <v>2667.4940000000001</v>
      </c>
      <c r="D75" s="148">
        <f>'Utility&amp;Auto&amp;Misc. Worksheet'!K334</f>
        <v>2654.5159999999996</v>
      </c>
      <c r="E75" s="148">
        <f>'Utility&amp;Auto&amp;Misc. Worksheet'!K368</f>
        <v>11580.083999999999</v>
      </c>
      <c r="F75" s="148">
        <f>'Utility&amp;Auto&amp;Misc. Worksheet'!K403</f>
        <v>8866.0339999999997</v>
      </c>
      <c r="G75" s="147"/>
      <c r="H75" s="43"/>
      <c r="I75" s="43"/>
    </row>
    <row r="76" spans="1:9" x14ac:dyDescent="0.25">
      <c r="A76" s="36" t="s">
        <v>453</v>
      </c>
      <c r="B76" s="140"/>
      <c r="C76" s="154">
        <f>'Utility&amp;Auto&amp;Misc. Worksheet'!N301</f>
        <v>130001</v>
      </c>
      <c r="D76" s="154">
        <f>'Utility&amp;Auto&amp;Misc. Worksheet'!N334</f>
        <v>107000</v>
      </c>
      <c r="E76" s="154">
        <f>'Utility&amp;Auto&amp;Misc. Worksheet'!N368</f>
        <v>10250</v>
      </c>
      <c r="F76" s="154">
        <f>'Utility&amp;Auto&amp;Misc. Worksheet'!N403</f>
        <v>13441.5</v>
      </c>
      <c r="G76" s="140"/>
      <c r="H76" s="43"/>
      <c r="I76" s="43"/>
    </row>
    <row r="77" spans="1:9" x14ac:dyDescent="0.25">
      <c r="A77" s="43" t="s">
        <v>86</v>
      </c>
      <c r="B77" s="147"/>
      <c r="C77" s="148">
        <f>'Utility&amp;Auto&amp;Misc. Worksheet'!L301</f>
        <v>10660.5</v>
      </c>
      <c r="D77" s="148">
        <f>'Utility&amp;Auto&amp;Misc. Worksheet'!L334</f>
        <v>10660.5</v>
      </c>
      <c r="E77" s="148">
        <f>'Utility&amp;Auto&amp;Misc. Worksheet'!L368</f>
        <v>7869.2</v>
      </c>
      <c r="F77" s="148">
        <f>'Utility&amp;Auto&amp;Misc. Worksheet'!L403</f>
        <v>7869.2</v>
      </c>
      <c r="G77" s="147"/>
      <c r="H77" s="43"/>
      <c r="I77" s="43"/>
    </row>
    <row r="78" spans="1:9" x14ac:dyDescent="0.25">
      <c r="A78" s="36"/>
      <c r="B78" s="140"/>
      <c r="C78" s="154"/>
      <c r="D78" s="154"/>
      <c r="E78" s="154"/>
      <c r="F78" s="154"/>
      <c r="G78" s="140"/>
      <c r="H78" s="43"/>
      <c r="I78" s="43"/>
    </row>
    <row r="79" spans="1:9" x14ac:dyDescent="0.25">
      <c r="A79" s="43"/>
      <c r="B79" s="147"/>
      <c r="C79" s="148"/>
      <c r="D79" s="148"/>
      <c r="E79" s="148"/>
      <c r="F79" s="148"/>
      <c r="G79" s="147"/>
      <c r="H79" s="43"/>
      <c r="I79" s="43"/>
    </row>
    <row r="80" spans="1:9" x14ac:dyDescent="0.25">
      <c r="A80" s="36"/>
      <c r="B80" s="140"/>
      <c r="C80" s="154"/>
      <c r="D80" s="154"/>
      <c r="E80" s="154"/>
      <c r="F80" s="154"/>
      <c r="G80" s="140"/>
      <c r="H80" s="43"/>
      <c r="I80" s="43"/>
    </row>
    <row r="81" spans="1:9" x14ac:dyDescent="0.25">
      <c r="A81" s="43"/>
      <c r="B81" s="147"/>
      <c r="C81" s="148"/>
      <c r="D81" s="148"/>
      <c r="E81" s="148"/>
      <c r="F81" s="148"/>
      <c r="G81" s="147"/>
      <c r="H81" s="43"/>
      <c r="I81" s="43"/>
    </row>
    <row r="82" spans="1:9" x14ac:dyDescent="0.25">
      <c r="A82" s="36"/>
      <c r="B82" s="140"/>
      <c r="C82" s="154"/>
      <c r="D82" s="154"/>
      <c r="E82" s="154"/>
      <c r="F82" s="154"/>
      <c r="G82" s="140"/>
      <c r="H82" s="43"/>
      <c r="I82" s="43"/>
    </row>
    <row r="83" spans="1:9" x14ac:dyDescent="0.25">
      <c r="A83" s="43"/>
      <c r="B83" s="147"/>
      <c r="C83" s="148"/>
      <c r="D83" s="148"/>
      <c r="E83" s="148"/>
      <c r="F83" s="148"/>
      <c r="G83" s="147"/>
      <c r="H83" s="43"/>
      <c r="I83" s="43"/>
    </row>
    <row r="84" spans="1:9" x14ac:dyDescent="0.25">
      <c r="A84" s="36"/>
      <c r="B84" s="140"/>
      <c r="C84" s="154"/>
      <c r="D84" s="154"/>
      <c r="E84" s="154"/>
      <c r="F84" s="154"/>
      <c r="G84" s="140"/>
      <c r="H84" s="43"/>
      <c r="I84" s="43"/>
    </row>
    <row r="85" spans="1:9" x14ac:dyDescent="0.25">
      <c r="A85" s="43"/>
      <c r="B85" s="147" t="s">
        <v>4</v>
      </c>
      <c r="C85" s="258">
        <f>SUM(C66:C84)</f>
        <v>248885.04200000002</v>
      </c>
      <c r="D85" s="258">
        <f>SUM(D66:D84)</f>
        <v>192683.022</v>
      </c>
      <c r="E85" s="258">
        <f>SUM(E66:E84)</f>
        <v>45682.082399999999</v>
      </c>
      <c r="F85" s="258">
        <f>SUM(F66:F84)</f>
        <v>55443.035699999993</v>
      </c>
      <c r="G85" s="147"/>
      <c r="H85" s="43"/>
      <c r="I85" s="43"/>
    </row>
    <row r="86" spans="1:9" x14ac:dyDescent="0.25">
      <c r="A86" s="36"/>
      <c r="B86" s="140"/>
      <c r="C86" s="140"/>
      <c r="D86" s="140"/>
      <c r="E86" s="140"/>
      <c r="F86" s="140"/>
      <c r="G86" s="140"/>
      <c r="H86" s="43"/>
      <c r="I86" s="43"/>
    </row>
    <row r="87" spans="1:9" x14ac:dyDescent="0.25">
      <c r="A87" s="43"/>
      <c r="B87" s="147"/>
      <c r="C87" s="147"/>
      <c r="D87" s="147"/>
      <c r="E87" s="147"/>
      <c r="F87" s="147"/>
      <c r="G87" s="147"/>
      <c r="H87" s="43"/>
      <c r="I87" s="43"/>
    </row>
    <row r="88" spans="1:9" x14ac:dyDescent="0.25">
      <c r="A88" s="36"/>
      <c r="B88" s="140"/>
      <c r="C88" s="140"/>
      <c r="D88" s="140"/>
      <c r="E88" s="140"/>
      <c r="F88" s="140"/>
      <c r="G88" s="140"/>
      <c r="H88" s="43"/>
      <c r="I88" s="43"/>
    </row>
    <row r="89" spans="1:9" x14ac:dyDescent="0.25">
      <c r="A89" s="43"/>
      <c r="B89" s="147"/>
      <c r="C89" s="147"/>
      <c r="D89" s="147"/>
      <c r="E89" s="147"/>
      <c r="F89" s="147"/>
      <c r="G89" s="147"/>
      <c r="H89" s="43"/>
      <c r="I89" s="43"/>
    </row>
    <row r="90" spans="1:9" x14ac:dyDescent="0.25">
      <c r="A90" s="36"/>
      <c r="B90" s="140"/>
      <c r="C90" s="140"/>
      <c r="D90" s="140"/>
      <c r="E90" s="140"/>
      <c r="F90" s="140"/>
      <c r="G90" s="140"/>
      <c r="H90" s="43"/>
      <c r="I90" s="43"/>
    </row>
    <row r="91" spans="1:9" x14ac:dyDescent="0.25">
      <c r="A91" s="43"/>
      <c r="B91" s="147"/>
      <c r="C91" s="147"/>
      <c r="D91" s="147"/>
      <c r="E91" s="147"/>
      <c r="F91" s="147"/>
      <c r="G91" s="147"/>
      <c r="H91" s="43"/>
      <c r="I91" s="43"/>
    </row>
    <row r="92" spans="1:9" x14ac:dyDescent="0.25">
      <c r="A92" s="36"/>
      <c r="B92" s="140"/>
      <c r="C92" s="140"/>
      <c r="D92" s="140"/>
      <c r="E92" s="140"/>
      <c r="F92" s="140"/>
      <c r="G92" s="140"/>
      <c r="H92" s="43"/>
      <c r="I92" s="43"/>
    </row>
    <row r="93" spans="1:9" x14ac:dyDescent="0.25">
      <c r="A93" s="43"/>
      <c r="B93" s="147"/>
      <c r="C93" s="147"/>
      <c r="D93" s="147"/>
      <c r="E93" s="147"/>
      <c r="F93" s="147"/>
      <c r="G93" s="147"/>
      <c r="H93" s="43"/>
      <c r="I93" s="43"/>
    </row>
    <row r="94" spans="1:9" x14ac:dyDescent="0.25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5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5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5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5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5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5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5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5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5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5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5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5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5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5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5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5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5">
      <c r="A124" s="43"/>
      <c r="B124" s="43"/>
      <c r="C124" s="43"/>
      <c r="D124" s="43"/>
      <c r="E124" s="43"/>
      <c r="F124" s="43"/>
      <c r="G124" s="43"/>
      <c r="H124" s="43"/>
      <c r="I124" s="43"/>
    </row>
    <row r="125" spans="1:9" x14ac:dyDescent="0.25">
      <c r="A125" s="43"/>
      <c r="B125" s="43"/>
      <c r="C125" s="43"/>
      <c r="D125" s="43"/>
      <c r="E125" s="43"/>
      <c r="F125" s="43"/>
      <c r="G125" s="43"/>
      <c r="H125" s="43"/>
      <c r="I125" s="43"/>
    </row>
    <row r="126" spans="1:9" x14ac:dyDescent="0.25">
      <c r="A126" s="43"/>
      <c r="B126" s="43"/>
      <c r="C126" s="43"/>
      <c r="D126" s="43"/>
      <c r="E126" s="43"/>
      <c r="F126" s="43"/>
      <c r="G126" s="43"/>
      <c r="H126" s="43"/>
      <c r="I126" s="43"/>
    </row>
    <row r="127" spans="1:9" x14ac:dyDescent="0.25">
      <c r="A127" s="43"/>
      <c r="B127" s="43"/>
      <c r="C127" s="43"/>
      <c r="D127" s="43"/>
      <c r="E127" s="43"/>
      <c r="F127" s="43"/>
      <c r="G127" s="43"/>
      <c r="H127" s="43"/>
      <c r="I127" s="43"/>
    </row>
    <row r="128" spans="1:9" x14ac:dyDescent="0.25">
      <c r="A128" s="43"/>
      <c r="B128" s="43"/>
      <c r="C128" s="43"/>
      <c r="D128" s="43"/>
      <c r="E128" s="43"/>
      <c r="F128" s="43"/>
      <c r="G128" s="43"/>
      <c r="H128" s="43"/>
      <c r="I128" s="43"/>
    </row>
    <row r="129" spans="1:9" x14ac:dyDescent="0.25">
      <c r="A129" s="43"/>
      <c r="B129" s="43"/>
      <c r="C129" s="43"/>
      <c r="D129" s="43"/>
      <c r="E129" s="43"/>
      <c r="F129" s="43"/>
      <c r="G129" s="43"/>
      <c r="H129" s="43"/>
      <c r="I129" s="43"/>
    </row>
    <row r="130" spans="1:9" x14ac:dyDescent="0.25">
      <c r="A130" s="43"/>
      <c r="B130" s="43"/>
      <c r="C130" s="43"/>
      <c r="D130" s="43"/>
      <c r="E130" s="43"/>
      <c r="F130" s="43"/>
      <c r="G130" s="43"/>
      <c r="H130" s="43"/>
      <c r="I130" s="43"/>
    </row>
    <row r="131" spans="1:9" x14ac:dyDescent="0.25">
      <c r="A131" s="43"/>
      <c r="B131" s="43"/>
      <c r="C131" s="43"/>
      <c r="D131" s="43"/>
      <c r="E131" s="43"/>
      <c r="F131" s="43"/>
      <c r="G131" s="43"/>
      <c r="H131" s="43"/>
      <c r="I131" s="43"/>
    </row>
    <row r="132" spans="1:9" x14ac:dyDescent="0.25">
      <c r="A132" s="43"/>
      <c r="B132" s="43"/>
      <c r="C132" s="43"/>
      <c r="D132" s="43"/>
      <c r="E132" s="43"/>
      <c r="F132" s="43"/>
      <c r="G132" s="43"/>
      <c r="H132" s="43"/>
      <c r="I132" s="43"/>
    </row>
    <row r="133" spans="1:9" x14ac:dyDescent="0.25">
      <c r="A133" s="43"/>
      <c r="B133" s="43"/>
      <c r="C133" s="43"/>
      <c r="D133" s="43"/>
      <c r="E133" s="43"/>
      <c r="F133" s="43"/>
      <c r="G133" s="43"/>
      <c r="H133" s="43"/>
      <c r="I133" s="43"/>
    </row>
    <row r="134" spans="1:9" x14ac:dyDescent="0.25">
      <c r="A134" s="43"/>
      <c r="B134" s="43"/>
      <c r="C134" s="43"/>
      <c r="D134" s="43"/>
      <c r="E134" s="43"/>
      <c r="F134" s="43"/>
      <c r="G134" s="43"/>
      <c r="H134" s="43"/>
      <c r="I134" s="43"/>
    </row>
    <row r="135" spans="1:9" x14ac:dyDescent="0.25">
      <c r="A135" s="43"/>
      <c r="B135" s="43"/>
      <c r="C135" s="43"/>
      <c r="D135" s="43"/>
      <c r="E135" s="43"/>
      <c r="F135" s="43"/>
      <c r="G135" s="43"/>
      <c r="H135" s="43"/>
      <c r="I135" s="43"/>
    </row>
    <row r="136" spans="1:9" x14ac:dyDescent="0.25">
      <c r="A136" s="43"/>
      <c r="B136" s="43"/>
      <c r="C136" s="43"/>
      <c r="D136" s="43"/>
      <c r="E136" s="43"/>
      <c r="F136" s="43"/>
      <c r="G136" s="43"/>
      <c r="H136" s="43"/>
      <c r="I136" s="43"/>
    </row>
    <row r="137" spans="1:9" x14ac:dyDescent="0.25">
      <c r="A137" s="43"/>
      <c r="B137" s="43"/>
      <c r="C137" s="43"/>
      <c r="D137" s="43"/>
      <c r="E137" s="43"/>
      <c r="F137" s="43"/>
      <c r="G137" s="43"/>
      <c r="H137" s="43"/>
      <c r="I137" s="43"/>
    </row>
    <row r="138" spans="1:9" x14ac:dyDescent="0.25">
      <c r="A138" s="43"/>
      <c r="B138" s="43"/>
      <c r="C138" s="43"/>
      <c r="D138" s="43"/>
      <c r="E138" s="43"/>
      <c r="F138" s="43"/>
      <c r="G138" s="43"/>
      <c r="H138" s="43"/>
      <c r="I138" s="43"/>
    </row>
    <row r="139" spans="1:9" x14ac:dyDescent="0.25">
      <c r="A139" s="43"/>
      <c r="B139" s="43"/>
      <c r="C139" s="43"/>
      <c r="D139" s="43"/>
      <c r="E139" s="43"/>
      <c r="F139" s="43"/>
      <c r="G139" s="43"/>
      <c r="H139" s="43"/>
      <c r="I139" s="43"/>
    </row>
    <row r="140" spans="1:9" x14ac:dyDescent="0.25">
      <c r="A140" s="43"/>
      <c r="B140" s="43"/>
      <c r="C140" s="43"/>
      <c r="D140" s="43"/>
      <c r="E140" s="43"/>
      <c r="F140" s="43"/>
      <c r="G140" s="43"/>
      <c r="H140" s="43"/>
      <c r="I140" s="43"/>
    </row>
    <row r="141" spans="1:9" x14ac:dyDescent="0.25">
      <c r="A141" s="43"/>
      <c r="B141" s="43"/>
      <c r="C141" s="43"/>
      <c r="D141" s="43"/>
      <c r="E141" s="43"/>
      <c r="F141" s="43"/>
      <c r="G141" s="43"/>
      <c r="H141" s="43"/>
      <c r="I141" s="43"/>
    </row>
    <row r="142" spans="1:9" x14ac:dyDescent="0.25">
      <c r="A142" s="43"/>
      <c r="B142" s="43"/>
      <c r="C142" s="43"/>
      <c r="D142" s="43"/>
      <c r="E142" s="43"/>
      <c r="F142" s="43"/>
      <c r="G142" s="43"/>
      <c r="H142" s="43"/>
      <c r="I142" s="43"/>
    </row>
    <row r="143" spans="1:9" x14ac:dyDescent="0.25">
      <c r="A143" s="43"/>
      <c r="B143" s="43"/>
      <c r="C143" s="43"/>
      <c r="D143" s="43"/>
      <c r="E143" s="43"/>
      <c r="F143" s="43"/>
      <c r="G143" s="43"/>
      <c r="H143" s="43"/>
      <c r="I143" s="43"/>
    </row>
    <row r="144" spans="1:9" x14ac:dyDescent="0.25">
      <c r="A144" s="43"/>
      <c r="B144" s="43"/>
      <c r="C144" s="43"/>
      <c r="D144" s="43"/>
      <c r="E144" s="43"/>
      <c r="F144" s="43"/>
      <c r="G144" s="43"/>
      <c r="H144" s="43"/>
      <c r="I144" s="43"/>
    </row>
    <row r="145" spans="1:9" x14ac:dyDescent="0.25">
      <c r="A145" s="43"/>
      <c r="B145" s="43"/>
      <c r="C145" s="43"/>
      <c r="D145" s="43"/>
      <c r="E145" s="43"/>
      <c r="F145" s="43"/>
      <c r="G145" s="43"/>
      <c r="H145" s="43"/>
      <c r="I145" s="43"/>
    </row>
    <row r="146" spans="1:9" x14ac:dyDescent="0.25">
      <c r="A146" s="43"/>
      <c r="B146" s="43"/>
      <c r="C146" s="43"/>
      <c r="D146" s="43"/>
      <c r="E146" s="43"/>
      <c r="F146" s="43"/>
      <c r="G146" s="43"/>
      <c r="H146" s="43"/>
      <c r="I146" s="43"/>
    </row>
    <row r="147" spans="1:9" x14ac:dyDescent="0.25">
      <c r="A147" s="43"/>
      <c r="B147" s="43"/>
      <c r="C147" s="43"/>
      <c r="D147" s="43"/>
      <c r="E147" s="43"/>
      <c r="F147" s="43"/>
      <c r="G147" s="43"/>
      <c r="H147" s="43"/>
      <c r="I147" s="43"/>
    </row>
    <row r="148" spans="1:9" x14ac:dyDescent="0.25">
      <c r="A148" s="43"/>
      <c r="B148" s="43"/>
      <c r="C148" s="43"/>
      <c r="D148" s="43"/>
      <c r="E148" s="43"/>
      <c r="F148" s="43"/>
      <c r="G148" s="43"/>
      <c r="H148" s="43"/>
      <c r="I148" s="43"/>
    </row>
    <row r="149" spans="1:9" x14ac:dyDescent="0.25">
      <c r="A149" s="43"/>
      <c r="B149" s="43"/>
      <c r="C149" s="43"/>
      <c r="D149" s="43"/>
      <c r="E149" s="43"/>
      <c r="F149" s="43"/>
      <c r="G149" s="43"/>
      <c r="H149" s="43"/>
      <c r="I149" s="43"/>
    </row>
    <row r="150" spans="1:9" x14ac:dyDescent="0.25">
      <c r="A150" s="43"/>
      <c r="B150" s="43"/>
      <c r="C150" s="43"/>
      <c r="D150" s="43"/>
      <c r="E150" s="43"/>
      <c r="F150" s="43"/>
      <c r="G150" s="43"/>
      <c r="H150" s="43"/>
      <c r="I150" s="43"/>
    </row>
    <row r="151" spans="1:9" x14ac:dyDescent="0.25">
      <c r="A151" s="43"/>
      <c r="B151" s="43"/>
      <c r="C151" s="43"/>
      <c r="D151" s="43"/>
      <c r="E151" s="43"/>
      <c r="F151" s="43"/>
      <c r="G151" s="43"/>
      <c r="H151" s="43"/>
      <c r="I151" s="43"/>
    </row>
    <row r="152" spans="1:9" x14ac:dyDescent="0.25">
      <c r="A152" s="43"/>
      <c r="B152" s="43"/>
      <c r="C152" s="43"/>
      <c r="D152" s="43"/>
      <c r="E152" s="43"/>
      <c r="F152" s="43"/>
      <c r="G152" s="43"/>
      <c r="H152" s="43"/>
      <c r="I152" s="43"/>
    </row>
    <row r="153" spans="1:9" x14ac:dyDescent="0.25">
      <c r="A153" s="43"/>
      <c r="B153" s="43"/>
      <c r="C153" s="43"/>
      <c r="D153" s="43"/>
      <c r="E153" s="43"/>
      <c r="F153" s="43"/>
      <c r="G153" s="43"/>
      <c r="H153" s="43"/>
      <c r="I153" s="43"/>
    </row>
    <row r="154" spans="1:9" x14ac:dyDescent="0.25">
      <c r="A154" s="43"/>
      <c r="B154" s="43"/>
      <c r="C154" s="43"/>
      <c r="D154" s="43"/>
      <c r="E154" s="43"/>
      <c r="F154" s="43"/>
      <c r="G154" s="43"/>
      <c r="H154" s="43"/>
      <c r="I154" s="43"/>
    </row>
    <row r="155" spans="1:9" x14ac:dyDescent="0.25">
      <c r="A155" s="43"/>
      <c r="B155" s="43"/>
      <c r="C155" s="43"/>
      <c r="D155" s="43"/>
      <c r="E155" s="43"/>
      <c r="F155" s="43"/>
      <c r="G155" s="43"/>
      <c r="H155" s="43"/>
      <c r="I155" s="43"/>
    </row>
    <row r="156" spans="1:9" x14ac:dyDescent="0.25">
      <c r="A156" s="43"/>
      <c r="B156" s="43"/>
      <c r="C156" s="43"/>
      <c r="D156" s="43"/>
      <c r="E156" s="43"/>
      <c r="F156" s="43"/>
      <c r="G156" s="43"/>
      <c r="H156" s="43"/>
      <c r="I156" s="43"/>
    </row>
    <row r="157" spans="1:9" x14ac:dyDescent="0.25">
      <c r="A157" s="43"/>
      <c r="B157" s="43"/>
      <c r="C157" s="43"/>
      <c r="D157" s="43"/>
      <c r="E157" s="43"/>
      <c r="F157" s="43"/>
      <c r="G157" s="43"/>
      <c r="H157" s="43"/>
      <c r="I157" s="43"/>
    </row>
    <row r="158" spans="1:9" x14ac:dyDescent="0.25">
      <c r="A158" s="43"/>
      <c r="B158" s="43"/>
      <c r="C158" s="43"/>
      <c r="D158" s="43"/>
      <c r="E158" s="43"/>
      <c r="F158" s="43"/>
      <c r="G158" s="43"/>
      <c r="H158" s="43"/>
      <c r="I158" s="43"/>
    </row>
    <row r="159" spans="1:9" x14ac:dyDescent="0.25">
      <c r="A159" s="43"/>
      <c r="B159" s="43"/>
      <c r="C159" s="43"/>
      <c r="D159" s="43"/>
      <c r="E159" s="43"/>
      <c r="F159" s="43"/>
      <c r="G159" s="43"/>
      <c r="H159" s="43"/>
      <c r="I159" s="43"/>
    </row>
    <row r="160" spans="1:9" x14ac:dyDescent="0.25">
      <c r="A160" s="43"/>
      <c r="B160" s="43"/>
      <c r="C160" s="43"/>
      <c r="D160" s="43"/>
      <c r="E160" s="43"/>
      <c r="F160" s="43"/>
      <c r="G160" s="43"/>
      <c r="H160" s="43"/>
      <c r="I160" s="43"/>
    </row>
    <row r="161" spans="1:9" x14ac:dyDescent="0.25">
      <c r="A161" s="43"/>
      <c r="B161" s="43"/>
      <c r="C161" s="43"/>
      <c r="D161" s="43"/>
      <c r="E161" s="43"/>
      <c r="F161" s="43"/>
      <c r="G161" s="43"/>
      <c r="H161" s="43"/>
      <c r="I161" s="43"/>
    </row>
    <row r="162" spans="1:9" x14ac:dyDescent="0.25">
      <c r="A162" s="43"/>
      <c r="B162" s="43"/>
      <c r="C162" s="43"/>
      <c r="D162" s="43"/>
      <c r="E162" s="43"/>
      <c r="F162" s="43"/>
      <c r="G162" s="43"/>
      <c r="H162" s="43"/>
      <c r="I162" s="43"/>
    </row>
    <row r="163" spans="1:9" x14ac:dyDescent="0.25">
      <c r="A163" s="43"/>
      <c r="B163" s="43"/>
      <c r="C163" s="43"/>
      <c r="D163" s="43"/>
      <c r="E163" s="43"/>
      <c r="F163" s="43"/>
      <c r="G163" s="43"/>
      <c r="H163" s="43"/>
      <c r="I163" s="43"/>
    </row>
    <row r="164" spans="1:9" x14ac:dyDescent="0.25">
      <c r="A164" s="43"/>
      <c r="B164" s="43"/>
      <c r="C164" s="43"/>
      <c r="D164" s="43"/>
      <c r="E164" s="43"/>
      <c r="F164" s="43"/>
      <c r="G164" s="43"/>
      <c r="H164" s="43"/>
      <c r="I164" s="43"/>
    </row>
    <row r="165" spans="1:9" x14ac:dyDescent="0.25">
      <c r="A165" s="43"/>
      <c r="B165" s="43"/>
      <c r="C165" s="43"/>
      <c r="D165" s="43"/>
      <c r="E165" s="43"/>
      <c r="F165" s="43"/>
      <c r="G165" s="43"/>
      <c r="H165" s="43"/>
      <c r="I165" s="43"/>
    </row>
    <row r="166" spans="1:9" x14ac:dyDescent="0.25">
      <c r="A166" s="43"/>
      <c r="B166" s="43"/>
      <c r="C166" s="43"/>
      <c r="D166" s="43"/>
      <c r="E166" s="43"/>
      <c r="F166" s="43"/>
      <c r="G166" s="43"/>
      <c r="H166" s="43"/>
      <c r="I166" s="43"/>
    </row>
    <row r="167" spans="1:9" x14ac:dyDescent="0.25">
      <c r="A167" s="43"/>
      <c r="B167" s="43"/>
      <c r="C167" s="43"/>
      <c r="D167" s="43"/>
      <c r="E167" s="43"/>
      <c r="F167" s="43"/>
      <c r="G167" s="43"/>
      <c r="H167" s="43"/>
      <c r="I167" s="43"/>
    </row>
    <row r="168" spans="1:9" x14ac:dyDescent="0.25">
      <c r="A168" s="43"/>
      <c r="B168" s="43"/>
      <c r="C168" s="43"/>
      <c r="D168" s="43"/>
      <c r="E168" s="43"/>
      <c r="F168" s="43"/>
      <c r="G168" s="43"/>
      <c r="H168" s="43"/>
      <c r="I168" s="43"/>
    </row>
    <row r="169" spans="1:9" x14ac:dyDescent="0.25">
      <c r="A169" s="43"/>
      <c r="B169" s="43"/>
      <c r="C169" s="43"/>
      <c r="D169" s="43"/>
      <c r="E169" s="43"/>
      <c r="F169" s="43"/>
      <c r="G169" s="43"/>
      <c r="H169" s="43"/>
      <c r="I169" s="43"/>
    </row>
    <row r="170" spans="1:9" x14ac:dyDescent="0.25">
      <c r="A170" s="43"/>
      <c r="B170" s="43"/>
      <c r="C170" s="43"/>
      <c r="D170" s="43"/>
      <c r="E170" s="43"/>
      <c r="F170" s="43"/>
      <c r="G170" s="43"/>
      <c r="H170" s="43"/>
      <c r="I170" s="43"/>
    </row>
    <row r="171" spans="1:9" x14ac:dyDescent="0.25">
      <c r="A171" s="43"/>
      <c r="B171" s="43"/>
      <c r="C171" s="43"/>
      <c r="D171" s="43"/>
      <c r="E171" s="43"/>
      <c r="F171" s="43"/>
      <c r="G171" s="43"/>
      <c r="H171" s="43"/>
      <c r="I171" s="43"/>
    </row>
  </sheetData>
  <pageMargins left="0.7" right="0.7" top="0.75" bottom="0.75" header="0.3" footer="0.3"/>
  <pageSetup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U403"/>
  <sheetViews>
    <sheetView topLeftCell="A349" workbookViewId="0">
      <selection activeCell="I386" sqref="I386"/>
    </sheetView>
  </sheetViews>
  <sheetFormatPr defaultRowHeight="15" x14ac:dyDescent="0.25"/>
  <cols>
    <col min="1" max="1" width="19.42578125" customWidth="1"/>
    <col min="2" max="2" width="11" bestFit="1" customWidth="1"/>
    <col min="3" max="3" width="11.28515625" customWidth="1"/>
    <col min="4" max="4" width="10.5703125" customWidth="1"/>
    <col min="5" max="5" width="12.42578125" customWidth="1"/>
    <col min="6" max="6" width="10.85546875" bestFit="1" customWidth="1"/>
    <col min="7" max="7" width="10" customWidth="1"/>
    <col min="8" max="8" width="10.85546875" bestFit="1" customWidth="1"/>
    <col min="9" max="10" width="12.28515625" customWidth="1"/>
    <col min="11" max="12" width="13.140625" customWidth="1"/>
    <col min="13" max="13" width="11.85546875" customWidth="1"/>
    <col min="14" max="15" width="14.85546875" customWidth="1"/>
    <col min="16" max="16" width="12.42578125" customWidth="1"/>
    <col min="17" max="17" width="28.28515625" customWidth="1"/>
  </cols>
  <sheetData>
    <row r="1" spans="2:8" ht="30.75" customHeight="1" x14ac:dyDescent="0.25">
      <c r="B1" t="s">
        <v>253</v>
      </c>
    </row>
    <row r="2" spans="2:8" ht="34.5" customHeight="1" x14ac:dyDescent="0.3">
      <c r="G2" s="242">
        <v>200</v>
      </c>
    </row>
    <row r="4" spans="2:8" x14ac:dyDescent="0.25">
      <c r="C4" s="225" t="s">
        <v>119</v>
      </c>
      <c r="D4" s="225" t="s">
        <v>120</v>
      </c>
      <c r="E4" s="225" t="s">
        <v>123</v>
      </c>
      <c r="F4" s="225" t="s">
        <v>203</v>
      </c>
      <c r="G4" s="225" t="s">
        <v>239</v>
      </c>
      <c r="H4" s="225" t="s">
        <v>559</v>
      </c>
    </row>
    <row r="5" spans="2:8" x14ac:dyDescent="0.25">
      <c r="C5" s="13">
        <v>4067.44</v>
      </c>
      <c r="D5" s="13">
        <v>57.11</v>
      </c>
      <c r="E5" s="13">
        <v>16.39</v>
      </c>
      <c r="F5" s="13">
        <v>180.86</v>
      </c>
      <c r="G5" s="13">
        <v>300</v>
      </c>
      <c r="H5" s="13">
        <v>21000</v>
      </c>
    </row>
    <row r="6" spans="2:8" x14ac:dyDescent="0.25">
      <c r="C6" s="13">
        <v>3629.5</v>
      </c>
      <c r="D6" s="13">
        <v>539.19000000000005</v>
      </c>
      <c r="E6" s="13">
        <v>17.54</v>
      </c>
      <c r="F6" s="13">
        <v>183.93</v>
      </c>
      <c r="G6" s="13"/>
    </row>
    <row r="7" spans="2:8" x14ac:dyDescent="0.25">
      <c r="C7" s="13">
        <v>3927.67</v>
      </c>
      <c r="D7" s="13">
        <v>131.41</v>
      </c>
      <c r="E7" s="13">
        <v>16.38</v>
      </c>
      <c r="F7" s="13">
        <v>186.82</v>
      </c>
      <c r="G7" s="13"/>
    </row>
    <row r="8" spans="2:8" x14ac:dyDescent="0.25">
      <c r="C8" s="13">
        <v>4321.92</v>
      </c>
      <c r="D8" s="13">
        <v>70.55</v>
      </c>
      <c r="E8" s="13">
        <v>16.39</v>
      </c>
      <c r="F8" s="13">
        <v>186.82</v>
      </c>
      <c r="G8" s="13"/>
    </row>
    <row r="9" spans="2:8" x14ac:dyDescent="0.25">
      <c r="C9" s="13">
        <v>3974.8</v>
      </c>
      <c r="D9" s="13">
        <v>373.36</v>
      </c>
      <c r="E9" s="13">
        <v>16.38</v>
      </c>
      <c r="F9" s="13">
        <v>179.58</v>
      </c>
      <c r="G9" s="13"/>
    </row>
    <row r="10" spans="2:8" x14ac:dyDescent="0.25">
      <c r="C10" s="13">
        <v>12036.44</v>
      </c>
      <c r="D10" s="13">
        <v>153.19</v>
      </c>
      <c r="E10" s="13">
        <v>16.38</v>
      </c>
      <c r="F10" s="13">
        <v>179.58</v>
      </c>
      <c r="G10" s="13"/>
    </row>
    <row r="11" spans="2:8" x14ac:dyDescent="0.25">
      <c r="C11" s="13">
        <v>14850.41</v>
      </c>
      <c r="D11" s="13">
        <v>129.15</v>
      </c>
      <c r="E11" s="13">
        <v>16.39</v>
      </c>
      <c r="F11" s="13">
        <v>143.66</v>
      </c>
      <c r="G11" s="13"/>
    </row>
    <row r="12" spans="2:8" x14ac:dyDescent="0.25">
      <c r="C12" s="13">
        <v>13839.48</v>
      </c>
      <c r="D12" s="13">
        <v>1235.44</v>
      </c>
      <c r="E12" s="13">
        <v>20.329999999999998</v>
      </c>
      <c r="F12" s="13">
        <v>144.05000000000001</v>
      </c>
      <c r="G12" s="13"/>
    </row>
    <row r="13" spans="2:8" x14ac:dyDescent="0.25">
      <c r="C13" s="13">
        <v>11863.42</v>
      </c>
      <c r="D13" s="13">
        <v>86.97</v>
      </c>
      <c r="E13" s="13">
        <v>16.39</v>
      </c>
      <c r="F13" s="13">
        <v>180.06</v>
      </c>
      <c r="G13" s="13"/>
    </row>
    <row r="14" spans="2:8" x14ac:dyDescent="0.25">
      <c r="C14" s="13">
        <v>9723.24</v>
      </c>
      <c r="D14" s="13"/>
      <c r="E14" s="13">
        <v>16.39</v>
      </c>
      <c r="F14" s="13"/>
      <c r="G14" s="13"/>
    </row>
    <row r="15" spans="2:8" x14ac:dyDescent="0.25">
      <c r="C15" s="13"/>
      <c r="D15" s="13"/>
      <c r="E15" s="13">
        <v>40.83</v>
      </c>
      <c r="F15" s="13"/>
      <c r="G15" s="13"/>
    </row>
    <row r="16" spans="2:8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18" spans="3:7" x14ac:dyDescent="0.25">
      <c r="C18" s="13"/>
      <c r="D18" s="13"/>
      <c r="E18" s="13"/>
      <c r="F18" s="13"/>
      <c r="G18" s="13"/>
    </row>
    <row r="19" spans="3:7" x14ac:dyDescent="0.25">
      <c r="C19" s="13"/>
      <c r="D19" s="13"/>
      <c r="E19" s="13"/>
      <c r="F19" s="13"/>
      <c r="G19" s="13"/>
    </row>
    <row r="20" spans="3:7" x14ac:dyDescent="0.25">
      <c r="C20" s="13"/>
      <c r="D20" s="13"/>
      <c r="E20" s="13"/>
      <c r="F20" s="13"/>
      <c r="G20" s="13"/>
    </row>
    <row r="21" spans="3:7" x14ac:dyDescent="0.25">
      <c r="C21" s="13"/>
      <c r="D21" s="13"/>
      <c r="E21" s="13"/>
      <c r="F21" s="13"/>
      <c r="G21" s="13"/>
    </row>
    <row r="22" spans="3:7" x14ac:dyDescent="0.25">
      <c r="C22" s="13"/>
      <c r="D22" s="13"/>
      <c r="E22" s="13"/>
      <c r="F22" s="13"/>
      <c r="G22" s="13"/>
    </row>
    <row r="23" spans="3:7" x14ac:dyDescent="0.25">
      <c r="C23" s="13"/>
      <c r="D23" s="13"/>
      <c r="E23" s="13"/>
      <c r="F23" s="13"/>
      <c r="G23" s="13"/>
    </row>
    <row r="24" spans="3:7" x14ac:dyDescent="0.25">
      <c r="C24" s="13"/>
      <c r="D24" s="13"/>
      <c r="E24" s="13"/>
      <c r="F24" s="13"/>
      <c r="G24" s="13"/>
    </row>
    <row r="25" spans="3:7" x14ac:dyDescent="0.25">
      <c r="C25" s="13"/>
      <c r="D25" s="13"/>
      <c r="E25" s="13"/>
      <c r="F25" s="13"/>
      <c r="G25" s="13"/>
    </row>
    <row r="26" spans="3:7" x14ac:dyDescent="0.25">
      <c r="C26" s="13"/>
      <c r="D26" s="13"/>
      <c r="E26" s="13"/>
      <c r="F26" s="13"/>
      <c r="G26" s="13"/>
    </row>
    <row r="27" spans="3:7" x14ac:dyDescent="0.25">
      <c r="C27" s="13"/>
      <c r="D27" s="13"/>
      <c r="E27" s="13"/>
      <c r="F27" s="13"/>
      <c r="G27" s="13"/>
    </row>
    <row r="28" spans="3:7" x14ac:dyDescent="0.25">
      <c r="C28" s="13"/>
      <c r="D28" s="13"/>
      <c r="E28" s="13"/>
      <c r="F28" s="13"/>
      <c r="G28" s="13"/>
    </row>
    <row r="29" spans="3:7" x14ac:dyDescent="0.25">
      <c r="C29" s="13"/>
      <c r="D29" s="13"/>
      <c r="E29" s="13"/>
      <c r="F29" s="13"/>
      <c r="G29" s="13"/>
    </row>
    <row r="30" spans="3:7" x14ac:dyDescent="0.25">
      <c r="C30" s="13"/>
      <c r="D30" s="13"/>
      <c r="E30" s="13"/>
      <c r="F30" s="13"/>
      <c r="G30" s="13"/>
    </row>
    <row r="31" spans="3:7" x14ac:dyDescent="0.25">
      <c r="C31" s="13"/>
      <c r="D31" s="13"/>
      <c r="E31" s="13"/>
      <c r="F31" s="13"/>
      <c r="G31" s="13"/>
    </row>
    <row r="32" spans="3:7" x14ac:dyDescent="0.25">
      <c r="C32" s="13"/>
      <c r="D32" s="13"/>
      <c r="E32" s="13"/>
      <c r="F32" s="13"/>
      <c r="G32" s="13"/>
    </row>
    <row r="33" spans="2:10" x14ac:dyDescent="0.25">
      <c r="C33" s="13"/>
      <c r="D33" s="13"/>
      <c r="E33" s="13"/>
      <c r="F33" s="13"/>
      <c r="G33" s="13"/>
    </row>
    <row r="34" spans="2:10" x14ac:dyDescent="0.25">
      <c r="B34" s="36"/>
      <c r="C34" s="64">
        <f>SUM(C5:C33)</f>
        <v>82234.320000000007</v>
      </c>
      <c r="D34" s="64">
        <f>SUM(D5:D33)</f>
        <v>2776.37</v>
      </c>
      <c r="E34" s="64">
        <f>SUM(E5:E33)</f>
        <v>209.78999999999996</v>
      </c>
      <c r="F34" s="64">
        <f>SUM(F5:F33)</f>
        <v>1565.3600000000001</v>
      </c>
      <c r="G34" s="64">
        <f>SUM(G5:G33)</f>
        <v>300</v>
      </c>
    </row>
    <row r="35" spans="2:10" x14ac:dyDescent="0.25">
      <c r="B35" s="60" t="s">
        <v>252</v>
      </c>
      <c r="C35" s="64">
        <f>C34*0.03</f>
        <v>2467.0296000000003</v>
      </c>
      <c r="D35" s="64">
        <f>D34*0.03</f>
        <v>83.2911</v>
      </c>
      <c r="E35" s="64">
        <f>E34*0.03</f>
        <v>6.2936999999999985</v>
      </c>
      <c r="F35" s="64">
        <f>F34*0.03</f>
        <v>46.960799999999999</v>
      </c>
      <c r="G35" s="64">
        <f>G34*0.03</f>
        <v>9</v>
      </c>
    </row>
    <row r="36" spans="2:10" x14ac:dyDescent="0.25">
      <c r="B36" s="109" t="s">
        <v>4</v>
      </c>
      <c r="C36" s="63">
        <f>SUM(C34:C35)</f>
        <v>84701.349600000001</v>
      </c>
      <c r="D36" s="63">
        <f>SUM(D34:D35)</f>
        <v>2859.6610999999998</v>
      </c>
      <c r="E36" s="63">
        <f>SUM(E34:E35)</f>
        <v>216.08369999999996</v>
      </c>
      <c r="F36" s="63">
        <f>SUM(F34:F35)</f>
        <v>1612.3208000000002</v>
      </c>
      <c r="G36" s="63">
        <f>SUM(G34:G35)</f>
        <v>309</v>
      </c>
      <c r="H36" s="13">
        <f>SUM(H5:H35)</f>
        <v>21000</v>
      </c>
      <c r="I36" s="13">
        <f>SUM(C36:H36)</f>
        <v>110698.4152</v>
      </c>
      <c r="J36" s="13"/>
    </row>
    <row r="37" spans="2:10" ht="18.75" x14ac:dyDescent="0.3">
      <c r="G37" s="242">
        <v>300</v>
      </c>
    </row>
    <row r="39" spans="2:10" x14ac:dyDescent="0.25">
      <c r="C39" s="225" t="s">
        <v>119</v>
      </c>
      <c r="D39" s="225" t="s">
        <v>120</v>
      </c>
      <c r="E39" s="225" t="s">
        <v>123</v>
      </c>
      <c r="F39" s="225" t="s">
        <v>203</v>
      </c>
      <c r="G39" s="225" t="s">
        <v>239</v>
      </c>
    </row>
    <row r="40" spans="2:10" x14ac:dyDescent="0.25">
      <c r="C40" s="13">
        <v>1974.99</v>
      </c>
      <c r="D40" s="13">
        <v>32.07</v>
      </c>
      <c r="E40" s="13">
        <v>16.39</v>
      </c>
      <c r="F40" s="13">
        <v>179.58</v>
      </c>
      <c r="G40" s="13">
        <v>300</v>
      </c>
    </row>
    <row r="41" spans="2:10" x14ac:dyDescent="0.25">
      <c r="C41" s="13">
        <v>1987.15</v>
      </c>
      <c r="D41" s="13">
        <v>99.66</v>
      </c>
      <c r="E41" s="13">
        <v>31.33</v>
      </c>
      <c r="F41" s="13">
        <v>179.58</v>
      </c>
      <c r="G41" s="13"/>
    </row>
    <row r="42" spans="2:10" x14ac:dyDescent="0.25">
      <c r="C42" s="13">
        <v>39.82</v>
      </c>
      <c r="D42" s="13">
        <v>57.11</v>
      </c>
      <c r="E42" s="13">
        <v>40.57</v>
      </c>
      <c r="F42" s="13">
        <v>143.66</v>
      </c>
      <c r="G42" s="13"/>
    </row>
    <row r="43" spans="2:10" x14ac:dyDescent="0.25">
      <c r="C43" s="13">
        <v>38.19</v>
      </c>
      <c r="D43" s="13">
        <v>131.41</v>
      </c>
      <c r="E43" s="13">
        <v>16.39</v>
      </c>
      <c r="F43" s="13">
        <v>144.05000000000001</v>
      </c>
      <c r="G43" s="13"/>
    </row>
    <row r="44" spans="2:10" x14ac:dyDescent="0.25">
      <c r="C44" s="13">
        <v>1879.22</v>
      </c>
      <c r="D44" s="13">
        <v>70.55</v>
      </c>
      <c r="E44" s="13">
        <v>31.33</v>
      </c>
      <c r="F44" s="13">
        <v>180.06</v>
      </c>
      <c r="G44" s="13"/>
    </row>
    <row r="45" spans="2:10" x14ac:dyDescent="0.25">
      <c r="C45" s="13">
        <v>49.89</v>
      </c>
      <c r="D45" s="13">
        <v>101.03</v>
      </c>
      <c r="E45" s="13">
        <v>16.39</v>
      </c>
      <c r="F45" s="13">
        <v>180.86</v>
      </c>
      <c r="G45" s="13"/>
    </row>
    <row r="46" spans="2:10" x14ac:dyDescent="0.25">
      <c r="C46" s="13">
        <v>1590</v>
      </c>
      <c r="D46" s="13">
        <v>153.19999999999999</v>
      </c>
      <c r="E46" s="13">
        <v>20.329999999999998</v>
      </c>
      <c r="F46" s="13">
        <v>183.94</v>
      </c>
      <c r="G46" s="13"/>
    </row>
    <row r="47" spans="2:10" x14ac:dyDescent="0.25">
      <c r="C47" s="13">
        <v>2352.29</v>
      </c>
      <c r="D47" s="13">
        <v>129.16</v>
      </c>
      <c r="E47" s="13">
        <v>47.72</v>
      </c>
      <c r="F47" s="13">
        <v>186.83</v>
      </c>
      <c r="G47" s="13"/>
    </row>
    <row r="48" spans="2:10" x14ac:dyDescent="0.25">
      <c r="C48" s="13">
        <v>86.54</v>
      </c>
      <c r="D48" s="13">
        <v>361.07</v>
      </c>
      <c r="E48" s="13">
        <v>31.33</v>
      </c>
      <c r="F48" s="13">
        <v>186.83</v>
      </c>
      <c r="G48" s="13"/>
    </row>
    <row r="49" spans="2:7" x14ac:dyDescent="0.25">
      <c r="C49" s="13">
        <v>2031.42</v>
      </c>
      <c r="D49" s="13">
        <v>132.91999999999999</v>
      </c>
      <c r="E49" s="13">
        <v>40.82</v>
      </c>
      <c r="F49" s="13"/>
      <c r="G49" s="13"/>
    </row>
    <row r="50" spans="2:7" x14ac:dyDescent="0.25">
      <c r="C50" s="13">
        <v>111.91</v>
      </c>
      <c r="D50" s="13"/>
      <c r="E50" s="13">
        <v>16.39</v>
      </c>
      <c r="F50" s="13"/>
      <c r="G50" s="13"/>
    </row>
    <row r="51" spans="2:7" x14ac:dyDescent="0.25">
      <c r="C51" s="13">
        <v>1921.68</v>
      </c>
      <c r="D51" s="13"/>
      <c r="E51" s="13">
        <v>47.72</v>
      </c>
      <c r="F51" s="13"/>
      <c r="G51" s="13"/>
    </row>
    <row r="52" spans="2:7" x14ac:dyDescent="0.25">
      <c r="C52" s="13">
        <v>100.99</v>
      </c>
      <c r="D52" s="13"/>
      <c r="E52" s="13">
        <v>48.88</v>
      </c>
      <c r="F52" s="13"/>
      <c r="G52" s="13"/>
    </row>
    <row r="53" spans="2:7" x14ac:dyDescent="0.25">
      <c r="C53" s="13">
        <v>2170.9299999999998</v>
      </c>
      <c r="D53" s="13"/>
      <c r="E53" s="13">
        <v>31.33</v>
      </c>
      <c r="F53" s="13"/>
      <c r="G53" s="13"/>
    </row>
    <row r="54" spans="2:7" x14ac:dyDescent="0.25">
      <c r="C54" s="13">
        <v>97.75</v>
      </c>
      <c r="D54" s="13"/>
      <c r="E54" s="13">
        <v>16.39</v>
      </c>
      <c r="F54" s="13"/>
      <c r="G54" s="13"/>
    </row>
    <row r="55" spans="2:7" x14ac:dyDescent="0.25">
      <c r="C55" s="257">
        <v>35.76</v>
      </c>
      <c r="D55" s="13"/>
      <c r="E55" s="13">
        <v>31.33</v>
      </c>
      <c r="F55" s="13"/>
      <c r="G55" s="13"/>
    </row>
    <row r="56" spans="2:7" x14ac:dyDescent="0.25">
      <c r="C56" s="13">
        <v>2001.33</v>
      </c>
      <c r="D56" s="13"/>
      <c r="E56" s="13">
        <v>16.39</v>
      </c>
      <c r="F56" s="13"/>
      <c r="G56" s="13"/>
    </row>
    <row r="57" spans="2:7" x14ac:dyDescent="0.25">
      <c r="C57" s="13">
        <v>1987.13</v>
      </c>
      <c r="D57" s="13"/>
      <c r="E57" s="13"/>
      <c r="F57" s="13"/>
      <c r="G57" s="13"/>
    </row>
    <row r="58" spans="2:7" x14ac:dyDescent="0.25">
      <c r="C58" s="13"/>
      <c r="D58" s="13"/>
      <c r="E58" s="13"/>
      <c r="F58" s="13"/>
      <c r="G58" s="13"/>
    </row>
    <row r="59" spans="2:7" x14ac:dyDescent="0.25">
      <c r="C59" s="13"/>
      <c r="D59" s="13"/>
      <c r="E59" s="13"/>
      <c r="F59" s="13"/>
      <c r="G59" s="13"/>
    </row>
    <row r="60" spans="2:7" x14ac:dyDescent="0.25">
      <c r="C60" s="13"/>
      <c r="D60" s="13"/>
      <c r="E60" s="13"/>
      <c r="F60" s="13"/>
      <c r="G60" s="13"/>
    </row>
    <row r="61" spans="2:7" x14ac:dyDescent="0.25">
      <c r="C61" s="13"/>
      <c r="D61" s="13"/>
      <c r="E61" s="13"/>
      <c r="F61" s="13"/>
      <c r="G61" s="13"/>
    </row>
    <row r="62" spans="2:7" x14ac:dyDescent="0.25">
      <c r="C62" s="13"/>
      <c r="D62" s="13"/>
      <c r="E62" s="13"/>
      <c r="F62" s="13"/>
      <c r="G62" s="13"/>
    </row>
    <row r="63" spans="2:7" x14ac:dyDescent="0.25">
      <c r="C63" s="13"/>
      <c r="D63" s="13"/>
      <c r="E63" s="13"/>
      <c r="F63" s="13"/>
      <c r="G63" s="13"/>
    </row>
    <row r="64" spans="2:7" x14ac:dyDescent="0.25">
      <c r="B64" s="36"/>
      <c r="C64" s="64">
        <f>SUM(C40:C63)</f>
        <v>20456.990000000002</v>
      </c>
      <c r="D64" s="64">
        <f>SUM(D40:D63)</f>
        <v>1268.18</v>
      </c>
      <c r="E64" s="64">
        <f>SUM(E40:E63)</f>
        <v>501.02999999999986</v>
      </c>
      <c r="F64" s="64">
        <f>SUM(F40:F63)</f>
        <v>1565.3899999999999</v>
      </c>
      <c r="G64" s="64">
        <f>SUM(G40:G63)</f>
        <v>300</v>
      </c>
    </row>
    <row r="65" spans="2:8" x14ac:dyDescent="0.25">
      <c r="B65" s="60" t="s">
        <v>252</v>
      </c>
      <c r="C65" s="64">
        <f>C64*0.03</f>
        <v>613.7097</v>
      </c>
      <c r="D65" s="64">
        <f>D64*0.03</f>
        <v>38.045400000000001</v>
      </c>
      <c r="E65" s="64">
        <f>E64*0.03</f>
        <v>15.030899999999995</v>
      </c>
      <c r="F65" s="64">
        <f>F64*0.03</f>
        <v>46.961699999999993</v>
      </c>
      <c r="G65" s="64">
        <f>G64*0.03</f>
        <v>9</v>
      </c>
    </row>
    <row r="66" spans="2:8" x14ac:dyDescent="0.25">
      <c r="B66" s="46" t="s">
        <v>4</v>
      </c>
      <c r="C66" s="261">
        <f>SUM(C64:C65)</f>
        <v>21070.699700000001</v>
      </c>
      <c r="D66" s="261">
        <f>SUM(D64:D65)</f>
        <v>1306.2254</v>
      </c>
      <c r="E66" s="261">
        <f>SUM(E64:E65)</f>
        <v>516.06089999999983</v>
      </c>
      <c r="F66" s="261">
        <f>SUM(F64:F65)</f>
        <v>1612.3516999999999</v>
      </c>
      <c r="G66" s="261">
        <f>SUM(G64:G65)</f>
        <v>309</v>
      </c>
    </row>
    <row r="68" spans="2:8" ht="18.75" x14ac:dyDescent="0.3">
      <c r="G68" s="242">
        <v>400</v>
      </c>
    </row>
    <row r="70" spans="2:8" x14ac:dyDescent="0.25">
      <c r="C70" s="225" t="s">
        <v>119</v>
      </c>
      <c r="D70" s="225" t="s">
        <v>120</v>
      </c>
      <c r="E70" s="225" t="s">
        <v>123</v>
      </c>
      <c r="F70" s="225" t="s">
        <v>203</v>
      </c>
      <c r="G70" s="225" t="s">
        <v>239</v>
      </c>
      <c r="H70" s="252" t="s">
        <v>615</v>
      </c>
    </row>
    <row r="71" spans="2:8" x14ac:dyDescent="0.25">
      <c r="C71" s="13">
        <v>331.63</v>
      </c>
      <c r="D71" s="13">
        <v>32.06</v>
      </c>
      <c r="E71" s="13">
        <v>16.39</v>
      </c>
      <c r="F71" s="13">
        <v>179.58</v>
      </c>
      <c r="G71" s="13">
        <v>300</v>
      </c>
      <c r="H71" s="13">
        <v>750</v>
      </c>
    </row>
    <row r="72" spans="2:8" x14ac:dyDescent="0.25">
      <c r="C72" s="13">
        <v>412.1</v>
      </c>
      <c r="D72" s="13">
        <v>99.66</v>
      </c>
      <c r="E72" s="13">
        <v>327.74</v>
      </c>
      <c r="F72" s="13">
        <v>179.58</v>
      </c>
      <c r="G72" s="13"/>
      <c r="H72" s="13"/>
    </row>
    <row r="73" spans="2:8" x14ac:dyDescent="0.25">
      <c r="C73" s="13">
        <v>500.89</v>
      </c>
      <c r="D73" s="13">
        <v>57.11</v>
      </c>
      <c r="E73" s="13">
        <v>16.39</v>
      </c>
      <c r="F73" s="13">
        <v>143.66</v>
      </c>
      <c r="G73" s="13"/>
      <c r="H73" s="13"/>
    </row>
    <row r="74" spans="2:8" x14ac:dyDescent="0.25">
      <c r="C74" s="13">
        <v>291.02999999999997</v>
      </c>
      <c r="D74" s="13">
        <v>117.01</v>
      </c>
      <c r="E74" s="13">
        <v>16.39</v>
      </c>
      <c r="F74" s="13">
        <v>144.05000000000001</v>
      </c>
      <c r="G74" s="13"/>
      <c r="H74" s="13"/>
    </row>
    <row r="75" spans="2:8" x14ac:dyDescent="0.25">
      <c r="C75" s="13">
        <v>329.16</v>
      </c>
      <c r="D75" s="13">
        <v>131.41</v>
      </c>
      <c r="E75" s="13">
        <v>16.39</v>
      </c>
      <c r="F75" s="13">
        <v>180.06</v>
      </c>
      <c r="G75" s="13"/>
      <c r="H75" s="13"/>
    </row>
    <row r="76" spans="2:8" x14ac:dyDescent="0.25">
      <c r="C76" s="13">
        <v>269.48</v>
      </c>
      <c r="D76" s="13">
        <v>70.55</v>
      </c>
      <c r="E76" s="13">
        <v>16.39</v>
      </c>
      <c r="F76" s="13">
        <v>180.86</v>
      </c>
      <c r="G76" s="13"/>
      <c r="H76" s="13"/>
    </row>
    <row r="77" spans="2:8" x14ac:dyDescent="0.25">
      <c r="C77" s="13">
        <v>316.26</v>
      </c>
      <c r="D77" s="13">
        <v>101.03</v>
      </c>
      <c r="E77" s="13">
        <v>16.39</v>
      </c>
      <c r="F77" s="13">
        <v>183.93</v>
      </c>
      <c r="G77" s="13"/>
      <c r="H77" s="13"/>
    </row>
    <row r="78" spans="2:8" x14ac:dyDescent="0.25">
      <c r="C78" s="13">
        <v>278.48</v>
      </c>
      <c r="D78" s="13">
        <v>153.19999999999999</v>
      </c>
      <c r="E78" s="13">
        <v>17.54</v>
      </c>
      <c r="F78" s="13">
        <v>186.83</v>
      </c>
      <c r="G78" s="13"/>
      <c r="H78" s="13"/>
    </row>
    <row r="79" spans="2:8" x14ac:dyDescent="0.25">
      <c r="C79" s="13">
        <v>299.45</v>
      </c>
      <c r="D79" s="13">
        <v>129.16</v>
      </c>
      <c r="E79" s="13">
        <v>16.39</v>
      </c>
      <c r="F79" s="13">
        <v>186.83</v>
      </c>
      <c r="G79" s="13"/>
      <c r="H79" s="13"/>
    </row>
    <row r="80" spans="2:8" x14ac:dyDescent="0.25">
      <c r="C80" s="13">
        <v>267.22000000000003</v>
      </c>
      <c r="D80" s="13">
        <v>176.73</v>
      </c>
      <c r="E80" s="13">
        <v>16.38</v>
      </c>
      <c r="F80" s="13"/>
      <c r="G80" s="13"/>
      <c r="H80" s="13"/>
    </row>
    <row r="81" spans="2:10" x14ac:dyDescent="0.25">
      <c r="C81" s="13"/>
      <c r="D81" s="13">
        <v>86.98</v>
      </c>
      <c r="E81" s="13"/>
      <c r="F81" s="13"/>
      <c r="G81" s="13"/>
      <c r="H81" s="13"/>
    </row>
    <row r="82" spans="2:10" x14ac:dyDescent="0.25">
      <c r="C82" s="13"/>
      <c r="D82" s="13"/>
      <c r="E82" s="13"/>
      <c r="F82" s="13"/>
      <c r="G82" s="13"/>
      <c r="H82" s="13"/>
    </row>
    <row r="83" spans="2:10" x14ac:dyDescent="0.25">
      <c r="C83" s="13"/>
      <c r="D83" s="13"/>
      <c r="E83" s="13"/>
      <c r="F83" s="13"/>
      <c r="G83" s="13"/>
      <c r="H83" s="13"/>
    </row>
    <row r="84" spans="2:10" x14ac:dyDescent="0.25">
      <c r="C84" s="13"/>
      <c r="D84" s="13"/>
      <c r="E84" s="13"/>
      <c r="F84" s="13"/>
      <c r="G84" s="13"/>
      <c r="H84" s="13"/>
    </row>
    <row r="85" spans="2:10" x14ac:dyDescent="0.25">
      <c r="C85" s="13"/>
      <c r="D85" s="13"/>
      <c r="E85" s="13"/>
      <c r="F85" s="13"/>
      <c r="G85" s="13"/>
      <c r="H85" s="13"/>
    </row>
    <row r="86" spans="2:10" x14ac:dyDescent="0.25">
      <c r="C86" s="13"/>
      <c r="D86" s="13"/>
      <c r="E86" s="13"/>
      <c r="F86" s="13"/>
      <c r="G86" s="13"/>
      <c r="H86" s="13"/>
    </row>
    <row r="87" spans="2:10" x14ac:dyDescent="0.25">
      <c r="C87" s="13"/>
      <c r="D87" s="13"/>
      <c r="E87" s="13"/>
      <c r="F87" s="13"/>
      <c r="G87" s="13"/>
      <c r="H87" s="13"/>
    </row>
    <row r="88" spans="2:10" x14ac:dyDescent="0.25">
      <c r="C88" s="13"/>
      <c r="D88" s="13"/>
      <c r="E88" s="13"/>
      <c r="F88" s="13"/>
      <c r="G88" s="13"/>
      <c r="H88" s="13"/>
    </row>
    <row r="89" spans="2:10" x14ac:dyDescent="0.25">
      <c r="C89" s="13"/>
      <c r="D89" s="13"/>
      <c r="E89" s="13"/>
      <c r="F89" s="13"/>
      <c r="G89" s="13"/>
      <c r="H89" s="13"/>
    </row>
    <row r="90" spans="2:10" x14ac:dyDescent="0.25">
      <c r="B90" s="36"/>
      <c r="C90" s="64">
        <f t="shared" ref="C90:H90" si="0">SUM(C71:C89)</f>
        <v>3295.7</v>
      </c>
      <c r="D90" s="64">
        <f t="shared" si="0"/>
        <v>1154.8999999999999</v>
      </c>
      <c r="E90" s="64">
        <f t="shared" si="0"/>
        <v>476.38999999999993</v>
      </c>
      <c r="F90" s="64">
        <f t="shared" si="0"/>
        <v>1565.3799999999999</v>
      </c>
      <c r="G90" s="64">
        <f t="shared" si="0"/>
        <v>300</v>
      </c>
      <c r="H90" s="64">
        <f t="shared" si="0"/>
        <v>750</v>
      </c>
    </row>
    <row r="91" spans="2:10" x14ac:dyDescent="0.25">
      <c r="B91" s="60" t="s">
        <v>252</v>
      </c>
      <c r="C91" s="64">
        <f t="shared" ref="C91:H91" si="1">C90*0.03</f>
        <v>98.870999999999995</v>
      </c>
      <c r="D91" s="64">
        <f t="shared" si="1"/>
        <v>34.646999999999991</v>
      </c>
      <c r="E91" s="64">
        <f t="shared" si="1"/>
        <v>14.291699999999997</v>
      </c>
      <c r="F91" s="64">
        <f t="shared" si="1"/>
        <v>46.961399999999998</v>
      </c>
      <c r="G91" s="64">
        <f t="shared" si="1"/>
        <v>9</v>
      </c>
      <c r="H91" s="64">
        <f t="shared" si="1"/>
        <v>22.5</v>
      </c>
      <c r="I91" s="18"/>
      <c r="J91" s="18"/>
    </row>
    <row r="92" spans="2:10" x14ac:dyDescent="0.25">
      <c r="B92" s="36" t="s">
        <v>4</v>
      </c>
      <c r="C92" s="63">
        <f t="shared" ref="C92:H92" si="2">SUM(C90:C91)</f>
        <v>3394.5709999999999</v>
      </c>
      <c r="D92" s="63">
        <f t="shared" si="2"/>
        <v>1189.5469999999998</v>
      </c>
      <c r="E92" s="63">
        <f t="shared" si="2"/>
        <v>490.68169999999992</v>
      </c>
      <c r="F92" s="63">
        <f t="shared" si="2"/>
        <v>1612.3413999999998</v>
      </c>
      <c r="G92" s="63">
        <f t="shared" si="2"/>
        <v>309</v>
      </c>
      <c r="H92" s="63">
        <f t="shared" si="2"/>
        <v>772.5</v>
      </c>
      <c r="I92" s="262"/>
      <c r="J92" s="262"/>
    </row>
    <row r="93" spans="2:10" ht="18.75" x14ac:dyDescent="0.3">
      <c r="B93" s="18"/>
      <c r="G93" s="242"/>
    </row>
    <row r="94" spans="2:10" ht="18.75" x14ac:dyDescent="0.3">
      <c r="B94" s="18"/>
      <c r="G94" s="242"/>
    </row>
    <row r="95" spans="2:10" ht="18.75" x14ac:dyDescent="0.3">
      <c r="B95" s="18"/>
      <c r="G95" s="242"/>
    </row>
    <row r="96" spans="2:10" ht="18.75" x14ac:dyDescent="0.3">
      <c r="B96" s="18"/>
      <c r="G96" s="242"/>
    </row>
    <row r="97" spans="2:8" ht="18.75" x14ac:dyDescent="0.3">
      <c r="B97" s="18"/>
      <c r="G97" s="242"/>
    </row>
    <row r="98" spans="2:8" ht="18.75" x14ac:dyDescent="0.3">
      <c r="B98" s="18"/>
      <c r="G98" s="242"/>
    </row>
    <row r="99" spans="2:8" ht="18.75" x14ac:dyDescent="0.3">
      <c r="B99" s="18"/>
      <c r="G99" s="242">
        <v>600</v>
      </c>
    </row>
    <row r="101" spans="2:8" x14ac:dyDescent="0.25">
      <c r="C101" s="225" t="s">
        <v>119</v>
      </c>
      <c r="D101" s="225" t="s">
        <v>120</v>
      </c>
      <c r="E101" s="225" t="s">
        <v>123</v>
      </c>
      <c r="F101" s="225" t="s">
        <v>203</v>
      </c>
      <c r="G101" t="s">
        <v>239</v>
      </c>
      <c r="H101" s="252" t="s">
        <v>615</v>
      </c>
    </row>
    <row r="102" spans="2:8" x14ac:dyDescent="0.25">
      <c r="C102" s="13">
        <v>331.63</v>
      </c>
      <c r="D102" s="13">
        <v>32.06</v>
      </c>
      <c r="E102" s="13">
        <v>16.39</v>
      </c>
      <c r="F102" s="13">
        <v>179.58</v>
      </c>
      <c r="G102" s="13">
        <v>300</v>
      </c>
      <c r="H102" s="13">
        <v>750</v>
      </c>
    </row>
    <row r="103" spans="2:8" x14ac:dyDescent="0.25">
      <c r="C103" s="13">
        <v>412.1</v>
      </c>
      <c r="D103" s="13">
        <v>99.65</v>
      </c>
      <c r="E103" s="13">
        <v>327.75</v>
      </c>
      <c r="F103" s="13">
        <v>179.58</v>
      </c>
      <c r="G103" s="13"/>
      <c r="H103" s="13"/>
    </row>
    <row r="104" spans="2:8" x14ac:dyDescent="0.25">
      <c r="C104" s="13">
        <v>500.9</v>
      </c>
      <c r="D104" s="13">
        <v>57.11</v>
      </c>
      <c r="E104" s="13">
        <v>16.39</v>
      </c>
      <c r="F104" s="13">
        <v>143.66999999999999</v>
      </c>
      <c r="G104" s="13"/>
      <c r="H104" s="13"/>
    </row>
    <row r="105" spans="2:8" x14ac:dyDescent="0.25">
      <c r="C105" s="13">
        <v>291.02</v>
      </c>
      <c r="D105" s="13">
        <v>116.99</v>
      </c>
      <c r="E105" s="13">
        <v>16.38</v>
      </c>
      <c r="F105" s="13">
        <v>144.03</v>
      </c>
      <c r="G105" s="13"/>
      <c r="H105" s="13"/>
    </row>
    <row r="106" spans="2:8" x14ac:dyDescent="0.25">
      <c r="C106" s="13">
        <v>329.17</v>
      </c>
      <c r="D106" s="13">
        <v>131.41999999999999</v>
      </c>
      <c r="E106" s="13">
        <v>16.38</v>
      </c>
      <c r="F106" s="13">
        <v>180.05</v>
      </c>
      <c r="G106" s="13"/>
      <c r="H106" s="13"/>
    </row>
    <row r="107" spans="2:8" x14ac:dyDescent="0.25">
      <c r="C107" s="13">
        <v>269.48</v>
      </c>
      <c r="D107" s="13">
        <v>70.55</v>
      </c>
      <c r="E107" s="13">
        <v>16.38</v>
      </c>
      <c r="F107" s="13">
        <v>180.87</v>
      </c>
      <c r="G107" s="13"/>
      <c r="H107" s="13"/>
    </row>
    <row r="108" spans="2:8" x14ac:dyDescent="0.25">
      <c r="C108" s="13">
        <v>316.26</v>
      </c>
      <c r="D108" s="13">
        <v>101.03</v>
      </c>
      <c r="E108" s="13">
        <v>16.38</v>
      </c>
      <c r="F108" s="13">
        <v>183.93</v>
      </c>
      <c r="G108" s="13"/>
      <c r="H108" s="13"/>
    </row>
    <row r="109" spans="2:8" x14ac:dyDescent="0.25">
      <c r="C109" s="13">
        <v>278.48</v>
      </c>
      <c r="D109" s="13">
        <v>153.19999999999999</v>
      </c>
      <c r="E109" s="13">
        <v>17.54</v>
      </c>
      <c r="F109" s="13">
        <v>186.83</v>
      </c>
      <c r="G109" s="13"/>
      <c r="H109" s="13"/>
    </row>
    <row r="110" spans="2:8" x14ac:dyDescent="0.25">
      <c r="C110" s="13">
        <v>299.45</v>
      </c>
      <c r="D110" s="13">
        <v>129.16</v>
      </c>
      <c r="E110" s="13">
        <v>16.39</v>
      </c>
      <c r="F110" s="13">
        <v>186.83</v>
      </c>
      <c r="G110" s="13"/>
      <c r="H110" s="13"/>
    </row>
    <row r="111" spans="2:8" x14ac:dyDescent="0.25">
      <c r="C111" s="13">
        <v>267.22000000000003</v>
      </c>
      <c r="D111" s="13">
        <v>176.74</v>
      </c>
      <c r="E111" s="13">
        <v>16.39</v>
      </c>
      <c r="F111" s="13"/>
      <c r="G111" s="13"/>
      <c r="H111" s="13"/>
    </row>
    <row r="112" spans="2:8" x14ac:dyDescent="0.25">
      <c r="C112" s="13"/>
      <c r="D112" s="13">
        <v>86.98</v>
      </c>
      <c r="E112" s="13"/>
      <c r="F112" s="13"/>
      <c r="G112" s="13"/>
      <c r="H112" s="13"/>
    </row>
    <row r="113" spans="2:10" x14ac:dyDescent="0.25">
      <c r="C113" s="13"/>
      <c r="D113" s="13"/>
      <c r="E113" s="13"/>
      <c r="F113" s="13"/>
      <c r="G113" s="13"/>
      <c r="H113" s="13"/>
    </row>
    <row r="114" spans="2:10" x14ac:dyDescent="0.25">
      <c r="C114" s="13"/>
      <c r="D114" s="13"/>
      <c r="E114" s="13"/>
      <c r="F114" s="13"/>
      <c r="G114" s="13"/>
      <c r="H114" s="13"/>
    </row>
    <row r="115" spans="2:10" x14ac:dyDescent="0.25">
      <c r="C115" s="13"/>
      <c r="D115" s="13"/>
      <c r="E115" s="13"/>
      <c r="F115" s="13"/>
      <c r="G115" s="13"/>
      <c r="H115" s="13"/>
    </row>
    <row r="116" spans="2:10" x14ac:dyDescent="0.25">
      <c r="C116" s="13"/>
      <c r="D116" s="13"/>
      <c r="E116" s="13"/>
      <c r="F116" s="13"/>
      <c r="G116" s="13"/>
      <c r="H116" s="13"/>
    </row>
    <row r="117" spans="2:10" x14ac:dyDescent="0.25">
      <c r="C117" s="13"/>
      <c r="D117" s="13"/>
      <c r="E117" s="13"/>
      <c r="F117" s="13"/>
      <c r="G117" s="13"/>
      <c r="H117" s="13"/>
    </row>
    <row r="118" spans="2:10" x14ac:dyDescent="0.25">
      <c r="C118" s="13"/>
      <c r="D118" s="13"/>
      <c r="E118" s="13"/>
      <c r="F118" s="13"/>
      <c r="G118" s="13"/>
      <c r="H118" s="13"/>
    </row>
    <row r="119" spans="2:10" x14ac:dyDescent="0.25">
      <c r="C119" s="13"/>
      <c r="D119" s="13"/>
      <c r="E119" s="13"/>
      <c r="F119" s="13"/>
      <c r="G119" s="13"/>
      <c r="H119" s="13"/>
    </row>
    <row r="120" spans="2:10" x14ac:dyDescent="0.25">
      <c r="C120" s="13"/>
      <c r="D120" s="13"/>
      <c r="E120" s="13"/>
      <c r="F120" s="13"/>
      <c r="G120" s="13"/>
      <c r="H120" s="13"/>
    </row>
    <row r="121" spans="2:10" x14ac:dyDescent="0.25">
      <c r="C121" s="13"/>
      <c r="D121" s="13"/>
      <c r="E121" s="13"/>
      <c r="F121" s="13"/>
      <c r="G121" s="13"/>
      <c r="H121" s="13"/>
    </row>
    <row r="122" spans="2:10" x14ac:dyDescent="0.25">
      <c r="C122" s="13"/>
      <c r="D122" s="13"/>
      <c r="E122" s="13"/>
      <c r="F122" s="13"/>
      <c r="G122" s="13"/>
      <c r="H122" s="13"/>
    </row>
    <row r="123" spans="2:10" x14ac:dyDescent="0.25">
      <c r="C123" s="13"/>
      <c r="D123" s="13"/>
      <c r="E123" s="13"/>
      <c r="F123" s="13"/>
      <c r="G123" s="13"/>
      <c r="H123" s="13"/>
    </row>
    <row r="124" spans="2:10" x14ac:dyDescent="0.25">
      <c r="C124" s="13"/>
      <c r="D124" s="13"/>
      <c r="E124" s="13"/>
      <c r="F124" s="13"/>
      <c r="G124" s="13"/>
      <c r="H124" s="13"/>
    </row>
    <row r="125" spans="2:10" x14ac:dyDescent="0.25">
      <c r="C125" s="13"/>
      <c r="D125" s="13"/>
      <c r="E125" s="13"/>
      <c r="F125" s="13"/>
      <c r="G125" s="13"/>
      <c r="H125" s="13"/>
    </row>
    <row r="126" spans="2:10" x14ac:dyDescent="0.25">
      <c r="B126" s="36"/>
      <c r="C126" s="64">
        <f t="shared" ref="C126:H126" si="3">SUM(C102:C125)</f>
        <v>3295.71</v>
      </c>
      <c r="D126" s="64">
        <f t="shared" si="3"/>
        <v>1154.8899999999999</v>
      </c>
      <c r="E126" s="64">
        <f t="shared" si="3"/>
        <v>476.36999999999995</v>
      </c>
      <c r="F126" s="64">
        <f t="shared" si="3"/>
        <v>1565.37</v>
      </c>
      <c r="G126" s="64">
        <f t="shared" si="3"/>
        <v>300</v>
      </c>
      <c r="H126" s="64">
        <f t="shared" si="3"/>
        <v>750</v>
      </c>
    </row>
    <row r="127" spans="2:10" x14ac:dyDescent="0.25">
      <c r="B127" s="60" t="s">
        <v>252</v>
      </c>
      <c r="C127" s="64">
        <f t="shared" ref="C127:H127" si="4">C126*0.03</f>
        <v>98.871299999999991</v>
      </c>
      <c r="D127" s="64">
        <f t="shared" si="4"/>
        <v>34.646699999999996</v>
      </c>
      <c r="E127" s="64">
        <f t="shared" si="4"/>
        <v>14.291099999999998</v>
      </c>
      <c r="F127" s="64">
        <f t="shared" si="4"/>
        <v>46.961099999999995</v>
      </c>
      <c r="G127" s="64">
        <f t="shared" si="4"/>
        <v>9</v>
      </c>
      <c r="H127" s="64">
        <f t="shared" si="4"/>
        <v>22.5</v>
      </c>
    </row>
    <row r="128" spans="2:10" x14ac:dyDescent="0.25">
      <c r="B128" s="36" t="s">
        <v>4</v>
      </c>
      <c r="C128" s="63">
        <f t="shared" ref="C128:H128" si="5">SUM(C126:C127)</f>
        <v>3394.5812999999998</v>
      </c>
      <c r="D128" s="63">
        <f t="shared" si="5"/>
        <v>1189.5366999999999</v>
      </c>
      <c r="E128" s="63">
        <f t="shared" si="5"/>
        <v>490.66109999999992</v>
      </c>
      <c r="F128" s="63">
        <f t="shared" si="5"/>
        <v>1612.3310999999999</v>
      </c>
      <c r="G128" s="63">
        <f t="shared" si="5"/>
        <v>309</v>
      </c>
      <c r="H128" s="63">
        <f t="shared" si="5"/>
        <v>772.5</v>
      </c>
      <c r="I128" s="13"/>
      <c r="J128" s="13"/>
    </row>
    <row r="133" spans="1:12" x14ac:dyDescent="0.25">
      <c r="B133" t="s">
        <v>254</v>
      </c>
    </row>
    <row r="134" spans="1:12" x14ac:dyDescent="0.25">
      <c r="B134" t="s">
        <v>257</v>
      </c>
      <c r="G134" s="250">
        <v>200</v>
      </c>
    </row>
    <row r="136" spans="1:12" x14ac:dyDescent="0.25">
      <c r="F136" s="225" t="s">
        <v>247</v>
      </c>
      <c r="G136" s="225" t="s">
        <v>255</v>
      </c>
      <c r="H136" s="225" t="s">
        <v>256</v>
      </c>
      <c r="I136" s="225" t="s">
        <v>250</v>
      </c>
      <c r="J136" s="225"/>
      <c r="K136" s="225" t="s">
        <v>146</v>
      </c>
      <c r="L136" s="225"/>
    </row>
    <row r="137" spans="1:12" x14ac:dyDescent="0.25">
      <c r="B137" s="260" t="s">
        <v>259</v>
      </c>
      <c r="C137" s="260" t="s">
        <v>260</v>
      </c>
      <c r="D137" t="s">
        <v>274</v>
      </c>
      <c r="F137" s="13">
        <v>247.93</v>
      </c>
      <c r="G137" s="13"/>
      <c r="H137" s="13">
        <v>118.06</v>
      </c>
      <c r="I137" s="13"/>
      <c r="J137" s="13"/>
      <c r="K137" s="13"/>
      <c r="L137" s="13"/>
    </row>
    <row r="138" spans="1:12" x14ac:dyDescent="0.25">
      <c r="A138" t="s">
        <v>272</v>
      </c>
      <c r="D138" s="2">
        <v>15</v>
      </c>
      <c r="F138" s="13">
        <v>123.55</v>
      </c>
      <c r="G138" s="13">
        <f>D138+C138+B138</f>
        <v>15</v>
      </c>
      <c r="H138" s="13">
        <v>28.02</v>
      </c>
      <c r="I138" s="13"/>
      <c r="J138" s="13"/>
      <c r="K138" s="13"/>
      <c r="L138" s="13"/>
    </row>
    <row r="139" spans="1:12" x14ac:dyDescent="0.25">
      <c r="A139" t="s">
        <v>261</v>
      </c>
      <c r="D139" s="2">
        <v>15</v>
      </c>
      <c r="F139" s="13">
        <v>131.72999999999999</v>
      </c>
      <c r="G139" s="13">
        <f>D139+C139+B139</f>
        <v>15</v>
      </c>
      <c r="H139" s="13">
        <v>98.83</v>
      </c>
      <c r="I139" s="13"/>
      <c r="J139" s="13"/>
      <c r="K139" s="13"/>
      <c r="L139" s="13"/>
    </row>
    <row r="140" spans="1:12" x14ac:dyDescent="0.25">
      <c r="A140" t="s">
        <v>258</v>
      </c>
      <c r="D140" s="2">
        <v>15</v>
      </c>
      <c r="F140" s="13">
        <v>100.09</v>
      </c>
      <c r="G140" s="13">
        <f>D140+C140+B140</f>
        <v>15</v>
      </c>
      <c r="H140" s="13">
        <v>171.96</v>
      </c>
      <c r="I140" s="13"/>
      <c r="J140" s="13"/>
      <c r="K140" s="13"/>
      <c r="L140" s="13"/>
    </row>
    <row r="141" spans="1:12" x14ac:dyDescent="0.25">
      <c r="A141" t="s">
        <v>263</v>
      </c>
      <c r="B141" s="1">
        <v>600</v>
      </c>
      <c r="D141" s="2">
        <v>15</v>
      </c>
      <c r="F141" s="13">
        <v>110.47</v>
      </c>
      <c r="G141" s="13">
        <f>B141*0.4+D141+C141</f>
        <v>255</v>
      </c>
      <c r="H141" s="13">
        <v>52</v>
      </c>
      <c r="I141" s="13"/>
      <c r="J141" s="13"/>
      <c r="K141" s="13"/>
      <c r="L141" s="13"/>
    </row>
    <row r="142" spans="1:12" x14ac:dyDescent="0.25">
      <c r="A142" t="s">
        <v>264</v>
      </c>
      <c r="D142" s="2">
        <v>15</v>
      </c>
      <c r="F142" s="13">
        <v>153.66999999999999</v>
      </c>
      <c r="G142" s="13">
        <f t="shared" ref="G142:G147" si="6">D142+C142+B142</f>
        <v>15</v>
      </c>
      <c r="H142" s="13">
        <v>280.61</v>
      </c>
      <c r="I142" s="13"/>
      <c r="J142" s="13"/>
      <c r="K142" s="13"/>
      <c r="L142" s="13"/>
    </row>
    <row r="143" spans="1:12" x14ac:dyDescent="0.25">
      <c r="A143" t="s">
        <v>265</v>
      </c>
      <c r="D143" s="2">
        <v>15</v>
      </c>
      <c r="F143" s="13">
        <v>88.67</v>
      </c>
      <c r="G143" s="13">
        <f t="shared" si="6"/>
        <v>15</v>
      </c>
      <c r="H143" s="13"/>
      <c r="I143" s="13"/>
      <c r="J143" s="13"/>
      <c r="K143" s="13"/>
      <c r="L143" s="13"/>
    </row>
    <row r="144" spans="1:12" x14ac:dyDescent="0.25">
      <c r="A144" t="s">
        <v>266</v>
      </c>
      <c r="D144" s="2">
        <v>15</v>
      </c>
      <c r="F144" s="13">
        <v>122.31</v>
      </c>
      <c r="G144" s="13">
        <f t="shared" si="6"/>
        <v>15</v>
      </c>
      <c r="H144" s="13"/>
      <c r="I144" s="13"/>
      <c r="J144" s="13"/>
      <c r="K144" s="13"/>
      <c r="L144" s="13"/>
    </row>
    <row r="145" spans="1:12" x14ac:dyDescent="0.25">
      <c r="A145" t="s">
        <v>267</v>
      </c>
      <c r="D145" s="2">
        <v>15</v>
      </c>
      <c r="F145" s="13">
        <v>160.37</v>
      </c>
      <c r="G145" s="13">
        <f t="shared" si="6"/>
        <v>15</v>
      </c>
      <c r="H145" s="13"/>
      <c r="I145" s="13"/>
      <c r="J145" s="13"/>
      <c r="K145" s="13"/>
      <c r="L145" s="13"/>
    </row>
    <row r="146" spans="1:12" x14ac:dyDescent="0.25">
      <c r="A146" t="s">
        <v>268</v>
      </c>
      <c r="D146" s="2">
        <v>15</v>
      </c>
      <c r="F146" s="13">
        <v>77.3</v>
      </c>
      <c r="G146" s="13">
        <f t="shared" si="6"/>
        <v>15</v>
      </c>
      <c r="H146" s="13"/>
      <c r="I146" s="13"/>
      <c r="J146" s="13"/>
      <c r="K146" s="13"/>
      <c r="L146" s="13"/>
    </row>
    <row r="147" spans="1:12" x14ac:dyDescent="0.25">
      <c r="A147" t="s">
        <v>269</v>
      </c>
      <c r="D147" s="2">
        <v>15</v>
      </c>
      <c r="F147" s="13">
        <v>181.42</v>
      </c>
      <c r="G147" s="13">
        <f t="shared" si="6"/>
        <v>15</v>
      </c>
      <c r="H147" s="13"/>
      <c r="I147" s="13"/>
      <c r="J147" s="13"/>
      <c r="K147" s="13"/>
      <c r="L147" s="13"/>
    </row>
    <row r="148" spans="1:12" x14ac:dyDescent="0.25">
      <c r="A148" s="263" t="s">
        <v>270</v>
      </c>
      <c r="D148" s="2"/>
      <c r="F148" s="13">
        <v>115.95</v>
      </c>
      <c r="G148" s="13"/>
      <c r="H148" s="13"/>
      <c r="I148" s="13"/>
      <c r="J148" s="13"/>
      <c r="K148" s="265">
        <v>4000</v>
      </c>
      <c r="L148" s="265"/>
    </row>
    <row r="149" spans="1:12" x14ac:dyDescent="0.25">
      <c r="F149" s="13"/>
      <c r="G149" s="13"/>
      <c r="H149" s="13"/>
      <c r="I149" s="13"/>
      <c r="J149" s="13"/>
      <c r="K149" s="13"/>
      <c r="L149" s="13"/>
    </row>
    <row r="150" spans="1:12" x14ac:dyDescent="0.25">
      <c r="F150" s="13"/>
      <c r="G150" s="13"/>
      <c r="H150" s="13"/>
      <c r="I150" s="13"/>
      <c r="J150" s="13"/>
      <c r="K150" s="13"/>
      <c r="L150" s="13"/>
    </row>
    <row r="151" spans="1:12" x14ac:dyDescent="0.25">
      <c r="F151" s="13"/>
      <c r="G151" s="13"/>
      <c r="H151" s="13"/>
      <c r="I151" s="13"/>
      <c r="J151" s="13"/>
      <c r="K151" s="13"/>
      <c r="L151" s="13"/>
    </row>
    <row r="152" spans="1:12" x14ac:dyDescent="0.25">
      <c r="F152" s="13"/>
      <c r="G152" s="13"/>
      <c r="H152" s="13"/>
      <c r="I152" s="13"/>
      <c r="J152" s="13"/>
      <c r="K152" s="13"/>
      <c r="L152" s="13"/>
    </row>
    <row r="153" spans="1:12" x14ac:dyDescent="0.25">
      <c r="F153" s="13"/>
      <c r="G153" s="13"/>
      <c r="H153" s="13"/>
      <c r="I153" s="13"/>
      <c r="J153" s="13"/>
      <c r="K153" s="13"/>
      <c r="L153" s="13"/>
    </row>
    <row r="154" spans="1:12" x14ac:dyDescent="0.25">
      <c r="F154" s="13"/>
      <c r="G154" s="13"/>
      <c r="H154" s="13"/>
      <c r="I154" s="13"/>
      <c r="J154" s="13"/>
      <c r="K154" s="13"/>
      <c r="L154" s="13"/>
    </row>
    <row r="155" spans="1:12" x14ac:dyDescent="0.25">
      <c r="F155" s="13"/>
      <c r="H155" s="13"/>
      <c r="I155" s="13"/>
      <c r="J155" s="13"/>
      <c r="K155" s="13"/>
      <c r="L155" s="13"/>
    </row>
    <row r="156" spans="1:12" x14ac:dyDescent="0.25">
      <c r="F156" s="13"/>
      <c r="G156" s="13"/>
      <c r="H156" s="13"/>
      <c r="I156" s="13"/>
      <c r="J156" s="13"/>
      <c r="K156" s="13"/>
      <c r="L156" s="13"/>
    </row>
    <row r="157" spans="1:12" x14ac:dyDescent="0.25">
      <c r="F157" s="13"/>
      <c r="G157" s="13"/>
      <c r="H157" s="13"/>
      <c r="I157" s="13"/>
      <c r="J157" s="13"/>
      <c r="K157" s="13"/>
      <c r="L157" s="13"/>
    </row>
    <row r="158" spans="1:12" x14ac:dyDescent="0.25">
      <c r="F158" s="13"/>
      <c r="G158" s="13"/>
      <c r="H158" s="13"/>
      <c r="I158" s="13"/>
      <c r="J158" s="13"/>
      <c r="K158" s="13"/>
      <c r="L158" s="13"/>
    </row>
    <row r="159" spans="1:12" x14ac:dyDescent="0.25">
      <c r="F159" s="13"/>
      <c r="G159" s="13"/>
      <c r="H159" s="13"/>
      <c r="I159" s="13"/>
      <c r="J159" s="13"/>
      <c r="K159" s="13"/>
      <c r="L159" s="13"/>
    </row>
    <row r="160" spans="1:12" x14ac:dyDescent="0.25">
      <c r="F160" s="13"/>
      <c r="G160" s="13"/>
      <c r="H160" s="13"/>
      <c r="I160" s="13"/>
      <c r="J160" s="13"/>
      <c r="K160" s="13"/>
      <c r="L160" s="13"/>
    </row>
    <row r="161" spans="1:13" x14ac:dyDescent="0.25">
      <c r="F161" s="13"/>
      <c r="G161" s="13"/>
      <c r="H161" s="13"/>
      <c r="I161" s="13"/>
      <c r="J161" s="13"/>
    </row>
    <row r="162" spans="1:13" x14ac:dyDescent="0.25">
      <c r="F162" s="13"/>
      <c r="G162" s="13"/>
      <c r="H162" s="13"/>
      <c r="I162" s="13"/>
      <c r="J162" s="13"/>
      <c r="K162" s="13"/>
      <c r="L162" s="13"/>
    </row>
    <row r="163" spans="1:13" x14ac:dyDescent="0.25">
      <c r="F163" s="13"/>
      <c r="G163" s="13"/>
      <c r="H163" s="13"/>
      <c r="I163" s="13"/>
      <c r="J163" s="13"/>
      <c r="K163" s="13"/>
      <c r="L163" s="13"/>
    </row>
    <row r="164" spans="1:13" x14ac:dyDescent="0.25">
      <c r="E164" s="36"/>
      <c r="F164" s="64">
        <f>SUM(F137:F163)</f>
        <v>1613.46</v>
      </c>
      <c r="G164" s="64">
        <f>SUM(G137:G163)</f>
        <v>390</v>
      </c>
      <c r="H164" s="64">
        <f>SUM(H137:H163)</f>
        <v>749.48</v>
      </c>
      <c r="I164" s="64"/>
      <c r="J164" s="64"/>
      <c r="K164" s="64">
        <f>SUM(K137:K163)</f>
        <v>4000</v>
      </c>
      <c r="L164" s="64"/>
      <c r="M164" s="262"/>
    </row>
    <row r="165" spans="1:13" x14ac:dyDescent="0.25">
      <c r="E165" s="60" t="s">
        <v>252</v>
      </c>
      <c r="F165" s="64">
        <f>F164*0.03</f>
        <v>48.403799999999997</v>
      </c>
      <c r="G165" s="64">
        <f>G164*0.03</f>
        <v>11.7</v>
      </c>
      <c r="H165" s="64">
        <f>H164*0.03</f>
        <v>22.484400000000001</v>
      </c>
      <c r="I165" s="64">
        <f>I164*0.03</f>
        <v>0</v>
      </c>
      <c r="J165" s="64"/>
      <c r="K165" s="64">
        <f>K164*0.03</f>
        <v>120</v>
      </c>
      <c r="L165" s="64"/>
      <c r="M165" s="18"/>
    </row>
    <row r="166" spans="1:13" x14ac:dyDescent="0.25">
      <c r="E166" s="43" t="s">
        <v>4</v>
      </c>
      <c r="F166" s="63">
        <f>SUM(F164:F165)</f>
        <v>1661.8638000000001</v>
      </c>
      <c r="G166" s="63">
        <f>SUM(G164:G165)</f>
        <v>401.7</v>
      </c>
      <c r="H166" s="63">
        <f>SUM(H164:H165)</f>
        <v>771.96440000000007</v>
      </c>
      <c r="I166" s="63">
        <f>SUM(I164:I165)</f>
        <v>0</v>
      </c>
      <c r="J166" s="63"/>
      <c r="K166" s="63">
        <f>SUM(K164:K165)</f>
        <v>4120</v>
      </c>
      <c r="L166" s="63"/>
    </row>
    <row r="167" spans="1:13" x14ac:dyDescent="0.25">
      <c r="B167" t="s">
        <v>254</v>
      </c>
    </row>
    <row r="168" spans="1:13" x14ac:dyDescent="0.25">
      <c r="B168" t="s">
        <v>257</v>
      </c>
      <c r="G168" s="250">
        <v>300</v>
      </c>
    </row>
    <row r="170" spans="1:13" x14ac:dyDescent="0.25">
      <c r="G170" s="225" t="s">
        <v>247</v>
      </c>
      <c r="H170" s="225" t="s">
        <v>255</v>
      </c>
      <c r="I170" s="225" t="s">
        <v>256</v>
      </c>
      <c r="J170" s="225"/>
      <c r="K170" s="225" t="s">
        <v>250</v>
      </c>
      <c r="L170" s="225"/>
      <c r="M170" s="225" t="s">
        <v>146</v>
      </c>
    </row>
    <row r="171" spans="1:13" x14ac:dyDescent="0.25">
      <c r="B171" s="260" t="s">
        <v>259</v>
      </c>
      <c r="C171" s="260" t="s">
        <v>260</v>
      </c>
      <c r="D171" s="259" t="s">
        <v>273</v>
      </c>
      <c r="G171" s="13">
        <v>135.72</v>
      </c>
      <c r="I171" s="13">
        <v>54.4</v>
      </c>
      <c r="J171" s="13"/>
      <c r="K171" s="13"/>
      <c r="L171" s="13"/>
      <c r="M171" s="13"/>
    </row>
    <row r="172" spans="1:13" x14ac:dyDescent="0.25">
      <c r="A172" t="s">
        <v>262</v>
      </c>
      <c r="D172" s="2">
        <v>15</v>
      </c>
      <c r="G172" s="13">
        <v>233.35</v>
      </c>
      <c r="H172" s="13">
        <f>D172+C172+B172</f>
        <v>15</v>
      </c>
      <c r="I172" s="13">
        <v>426.06</v>
      </c>
      <c r="J172" s="13"/>
      <c r="K172" s="13"/>
      <c r="L172" s="13"/>
      <c r="M172" s="13"/>
    </row>
    <row r="173" spans="1:13" x14ac:dyDescent="0.25">
      <c r="A173" t="s">
        <v>261</v>
      </c>
      <c r="D173" s="2">
        <v>15</v>
      </c>
      <c r="G173" s="13">
        <v>160.1</v>
      </c>
      <c r="H173" s="13">
        <f>D173+C173+B173</f>
        <v>15</v>
      </c>
      <c r="I173" s="13">
        <v>118.04</v>
      </c>
      <c r="J173" s="13"/>
      <c r="K173" s="13"/>
      <c r="L173" s="13"/>
      <c r="M173" s="13"/>
    </row>
    <row r="174" spans="1:13" x14ac:dyDescent="0.25">
      <c r="A174" t="s">
        <v>258</v>
      </c>
      <c r="D174" s="2">
        <v>15</v>
      </c>
      <c r="G174" s="13">
        <v>156.94</v>
      </c>
      <c r="H174" s="13">
        <f>D174+C174+B174</f>
        <v>15</v>
      </c>
      <c r="I174" s="13">
        <v>153.05000000000001</v>
      </c>
      <c r="J174" s="13"/>
      <c r="K174" s="13"/>
      <c r="L174" s="13"/>
      <c r="M174" s="13"/>
    </row>
    <row r="175" spans="1:13" x14ac:dyDescent="0.25">
      <c r="A175" t="s">
        <v>263</v>
      </c>
      <c r="B175" s="1">
        <v>600</v>
      </c>
      <c r="D175" s="2">
        <v>15</v>
      </c>
      <c r="G175" s="13">
        <v>229.86</v>
      </c>
      <c r="H175" s="13">
        <f>B175*0.4+D175</f>
        <v>255</v>
      </c>
      <c r="I175" s="13">
        <v>175.18</v>
      </c>
      <c r="J175" s="13"/>
      <c r="K175" s="13"/>
      <c r="L175" s="13"/>
      <c r="M175" s="13"/>
    </row>
    <row r="176" spans="1:13" x14ac:dyDescent="0.25">
      <c r="A176" t="s">
        <v>264</v>
      </c>
      <c r="D176" s="2">
        <v>15</v>
      </c>
      <c r="G176" s="13">
        <v>83.21</v>
      </c>
      <c r="H176" s="13">
        <f>D176+C176+B176</f>
        <v>15</v>
      </c>
      <c r="I176" s="13">
        <v>171.95</v>
      </c>
      <c r="J176" s="13"/>
      <c r="K176" s="13"/>
      <c r="L176" s="13"/>
      <c r="M176" s="13"/>
    </row>
    <row r="177" spans="1:13" x14ac:dyDescent="0.25">
      <c r="A177" t="s">
        <v>265</v>
      </c>
      <c r="D177" s="2">
        <v>15</v>
      </c>
      <c r="G177" s="13">
        <v>247.95</v>
      </c>
      <c r="H177" s="13">
        <f>D177+C177+B177</f>
        <v>15</v>
      </c>
      <c r="I177" s="13">
        <v>280.64999999999998</v>
      </c>
      <c r="J177" s="13"/>
      <c r="K177" s="13"/>
      <c r="L177" s="13"/>
      <c r="M177" s="13"/>
    </row>
    <row r="178" spans="1:13" x14ac:dyDescent="0.25">
      <c r="A178" t="s">
        <v>266</v>
      </c>
      <c r="D178" s="2">
        <v>15</v>
      </c>
      <c r="G178" s="13">
        <v>123.54</v>
      </c>
      <c r="H178" s="13">
        <f>D177+C177+B177</f>
        <v>15</v>
      </c>
      <c r="I178" s="13"/>
      <c r="J178" s="13"/>
      <c r="K178" s="13"/>
      <c r="L178" s="13"/>
      <c r="M178" s="13"/>
    </row>
    <row r="179" spans="1:13" x14ac:dyDescent="0.25">
      <c r="A179" t="s">
        <v>267</v>
      </c>
      <c r="D179" s="2">
        <v>15</v>
      </c>
      <c r="G179" s="13">
        <v>131.72999999999999</v>
      </c>
      <c r="H179" s="13">
        <f>D179+C179+B179</f>
        <v>15</v>
      </c>
      <c r="I179" s="13"/>
      <c r="J179" s="13"/>
      <c r="K179" s="13"/>
      <c r="L179" s="13"/>
      <c r="M179" s="13"/>
    </row>
    <row r="180" spans="1:13" x14ac:dyDescent="0.25">
      <c r="A180" t="s">
        <v>268</v>
      </c>
      <c r="D180" s="2">
        <v>15</v>
      </c>
      <c r="G180" s="13">
        <v>110.46</v>
      </c>
      <c r="H180" s="13">
        <f>D180+C180+B180</f>
        <v>15</v>
      </c>
      <c r="I180" s="13"/>
      <c r="J180" s="13"/>
      <c r="K180" s="13"/>
      <c r="L180" s="13"/>
      <c r="M180" s="13"/>
    </row>
    <row r="181" spans="1:13" x14ac:dyDescent="0.25">
      <c r="A181" t="s">
        <v>269</v>
      </c>
      <c r="D181" s="2">
        <v>15</v>
      </c>
      <c r="G181" s="13">
        <v>100.12</v>
      </c>
      <c r="H181" s="13">
        <f>D181+C181+B181</f>
        <v>15</v>
      </c>
      <c r="I181" s="13"/>
      <c r="J181" s="13"/>
      <c r="K181" s="13"/>
      <c r="L181" s="13"/>
      <c r="M181" s="13"/>
    </row>
    <row r="182" spans="1:13" x14ac:dyDescent="0.25">
      <c r="A182" t="s">
        <v>271</v>
      </c>
      <c r="G182" s="13">
        <v>153.66999999999999</v>
      </c>
      <c r="H182" s="13"/>
      <c r="I182" s="13"/>
      <c r="J182" s="13"/>
      <c r="K182" s="13"/>
      <c r="L182" s="13"/>
      <c r="M182" s="13">
        <v>4000</v>
      </c>
    </row>
    <row r="183" spans="1:13" x14ac:dyDescent="0.25">
      <c r="G183" s="13">
        <v>88.71</v>
      </c>
      <c r="H183" s="13"/>
      <c r="I183" s="13"/>
      <c r="J183" s="13"/>
      <c r="K183" s="13"/>
      <c r="L183" s="13"/>
      <c r="M183" s="13"/>
    </row>
    <row r="184" spans="1:13" x14ac:dyDescent="0.25">
      <c r="G184" s="13">
        <v>160.38</v>
      </c>
      <c r="H184" s="13"/>
      <c r="I184" s="13"/>
      <c r="J184" s="13"/>
      <c r="K184" s="13"/>
      <c r="L184" s="13"/>
      <c r="M184" s="13"/>
    </row>
    <row r="185" spans="1:13" x14ac:dyDescent="0.25">
      <c r="G185" s="13">
        <v>77.319999999999993</v>
      </c>
      <c r="H185" s="13"/>
      <c r="I185" s="13"/>
      <c r="J185" s="13"/>
      <c r="K185" s="13"/>
      <c r="L185" s="13"/>
      <c r="M185" s="13"/>
    </row>
    <row r="186" spans="1:13" x14ac:dyDescent="0.25">
      <c r="G186" s="13">
        <v>181.42</v>
      </c>
      <c r="H186" s="13"/>
      <c r="I186" s="13"/>
      <c r="J186" s="13"/>
      <c r="K186" s="13"/>
      <c r="L186" s="13"/>
      <c r="M186" s="13"/>
    </row>
    <row r="187" spans="1:13" x14ac:dyDescent="0.25">
      <c r="G187" s="13">
        <v>115.96</v>
      </c>
      <c r="H187" s="13"/>
      <c r="I187" s="13"/>
      <c r="J187" s="13"/>
      <c r="K187" s="13"/>
      <c r="L187" s="13"/>
      <c r="M187" s="13"/>
    </row>
    <row r="188" spans="1:13" x14ac:dyDescent="0.25">
      <c r="G188" s="13"/>
      <c r="H188" s="13"/>
      <c r="I188" s="13"/>
      <c r="J188" s="13"/>
      <c r="K188" s="13"/>
      <c r="L188" s="13"/>
      <c r="M188" s="13"/>
    </row>
    <row r="189" spans="1:13" x14ac:dyDescent="0.25">
      <c r="G189" s="13"/>
      <c r="H189" s="13"/>
      <c r="I189" s="13"/>
      <c r="J189" s="13"/>
      <c r="K189" s="13"/>
      <c r="L189" s="13"/>
      <c r="M189" s="13"/>
    </row>
    <row r="190" spans="1:13" x14ac:dyDescent="0.25">
      <c r="G190" s="13"/>
      <c r="H190" s="13"/>
      <c r="I190" s="13"/>
      <c r="J190" s="13"/>
      <c r="K190" s="13"/>
      <c r="L190" s="13"/>
      <c r="M190" s="13"/>
    </row>
    <row r="191" spans="1:13" x14ac:dyDescent="0.25">
      <c r="G191" s="13"/>
      <c r="I191" s="13"/>
      <c r="J191" s="13"/>
      <c r="K191" s="13"/>
      <c r="L191" s="13"/>
      <c r="M191" s="13"/>
    </row>
    <row r="192" spans="1:13" x14ac:dyDescent="0.25">
      <c r="G192" s="13"/>
      <c r="H192" s="13"/>
      <c r="I192" s="13"/>
      <c r="J192" s="13"/>
      <c r="K192" s="13"/>
      <c r="L192" s="13"/>
      <c r="M192" s="13"/>
    </row>
    <row r="193" spans="1:13" x14ac:dyDescent="0.25">
      <c r="G193" s="13"/>
      <c r="H193" s="13"/>
      <c r="I193" s="13"/>
      <c r="J193" s="13"/>
      <c r="K193" s="13"/>
      <c r="L193" s="13"/>
      <c r="M193" s="13"/>
    </row>
    <row r="194" spans="1:13" x14ac:dyDescent="0.25">
      <c r="G194" s="13"/>
      <c r="H194" s="13"/>
      <c r="I194" s="13"/>
      <c r="J194" s="13"/>
      <c r="K194" s="13"/>
      <c r="L194" s="13"/>
      <c r="M194" s="13"/>
    </row>
    <row r="195" spans="1:13" x14ac:dyDescent="0.25">
      <c r="G195" s="13"/>
      <c r="H195" s="13"/>
      <c r="I195" s="13"/>
      <c r="J195" s="13"/>
      <c r="K195" s="13"/>
      <c r="L195" s="13"/>
      <c r="M195" s="13"/>
    </row>
    <row r="196" spans="1:13" x14ac:dyDescent="0.25">
      <c r="G196" s="13"/>
      <c r="H196" s="13"/>
      <c r="I196" s="13"/>
      <c r="J196" s="13"/>
      <c r="K196" s="13"/>
      <c r="L196" s="13"/>
      <c r="M196" s="13"/>
    </row>
    <row r="197" spans="1:13" x14ac:dyDescent="0.25">
      <c r="F197" s="43"/>
      <c r="G197" s="63">
        <f>SUM(G171:G196)</f>
        <v>2490.4400000000005</v>
      </c>
      <c r="H197" s="63">
        <f>SUM(H172:H196)</f>
        <v>390</v>
      </c>
      <c r="I197" s="63">
        <f>SUM(I171:I196)</f>
        <v>1379.33</v>
      </c>
      <c r="J197" s="63"/>
      <c r="K197" s="63"/>
      <c r="L197" s="63"/>
      <c r="M197" s="63">
        <f>SUM(M171:M196)</f>
        <v>4000</v>
      </c>
    </row>
    <row r="198" spans="1:13" x14ac:dyDescent="0.25">
      <c r="F198" s="43"/>
      <c r="G198" s="63">
        <f>G197*0.03</f>
        <v>74.713200000000015</v>
      </c>
      <c r="H198" s="63">
        <f>H197*0.03</f>
        <v>11.7</v>
      </c>
      <c r="I198" s="63">
        <f>I197*0.03</f>
        <v>41.379899999999999</v>
      </c>
      <c r="J198" s="63"/>
      <c r="K198" s="63">
        <f>K197*0.03</f>
        <v>0</v>
      </c>
      <c r="L198" s="63"/>
      <c r="M198" s="63">
        <f>M197*0.03</f>
        <v>120</v>
      </c>
    </row>
    <row r="199" spans="1:13" x14ac:dyDescent="0.25">
      <c r="F199" s="43" t="s">
        <v>4</v>
      </c>
      <c r="G199" s="261">
        <f>SUM(G197:G198)</f>
        <v>2565.1532000000007</v>
      </c>
      <c r="H199" s="261">
        <f>SUM(H197:H198)</f>
        <v>401.7</v>
      </c>
      <c r="I199" s="261">
        <f>SUM(I197:I198)</f>
        <v>1420.7098999999998</v>
      </c>
      <c r="J199" s="261"/>
      <c r="K199" s="261">
        <f>SUM(K197:K198)</f>
        <v>0</v>
      </c>
      <c r="L199" s="261"/>
      <c r="M199" s="261">
        <f>SUM(M197:M198)</f>
        <v>4120</v>
      </c>
    </row>
    <row r="200" spans="1:13" x14ac:dyDescent="0.25">
      <c r="K200" s="266" t="s">
        <v>285</v>
      </c>
      <c r="L200" s="266"/>
      <c r="M200" s="258">
        <f>M199+K199+I199+H199+G199</f>
        <v>8507.5630999999994</v>
      </c>
    </row>
    <row r="201" spans="1:13" x14ac:dyDescent="0.25">
      <c r="B201" t="s">
        <v>254</v>
      </c>
    </row>
    <row r="202" spans="1:13" x14ac:dyDescent="0.25">
      <c r="B202" t="s">
        <v>257</v>
      </c>
      <c r="G202" s="250">
        <v>400</v>
      </c>
    </row>
    <row r="204" spans="1:13" x14ac:dyDescent="0.25">
      <c r="G204" s="225" t="s">
        <v>247</v>
      </c>
      <c r="H204" s="225" t="s">
        <v>255</v>
      </c>
      <c r="I204" s="225" t="s">
        <v>256</v>
      </c>
      <c r="J204" s="225"/>
      <c r="K204" s="225" t="s">
        <v>250</v>
      </c>
      <c r="L204" s="225"/>
      <c r="M204" s="225" t="s">
        <v>146</v>
      </c>
    </row>
    <row r="205" spans="1:13" x14ac:dyDescent="0.25">
      <c r="B205" s="260" t="s">
        <v>259</v>
      </c>
      <c r="C205" s="260" t="s">
        <v>260</v>
      </c>
      <c r="D205" s="260" t="s">
        <v>273</v>
      </c>
    </row>
    <row r="206" spans="1:13" x14ac:dyDescent="0.25">
      <c r="A206" t="s">
        <v>263</v>
      </c>
      <c r="B206" s="1">
        <v>600</v>
      </c>
      <c r="D206" s="2">
        <v>7.5</v>
      </c>
      <c r="G206" s="13">
        <v>322.35000000000002</v>
      </c>
      <c r="H206" s="13">
        <f>B206*0.1+D206</f>
        <v>67.5</v>
      </c>
      <c r="I206" s="13">
        <v>56.96</v>
      </c>
      <c r="J206" s="13"/>
      <c r="K206" s="13"/>
      <c r="L206" s="13"/>
      <c r="M206" s="13"/>
    </row>
    <row r="207" spans="1:13" x14ac:dyDescent="0.25">
      <c r="A207" t="s">
        <v>277</v>
      </c>
      <c r="D207" s="2">
        <v>25</v>
      </c>
      <c r="G207" s="13">
        <v>94.15</v>
      </c>
      <c r="H207" s="13">
        <f t="shared" ref="H207:H214" si="7">D207+C207+B207</f>
        <v>25</v>
      </c>
      <c r="I207" s="13">
        <v>140.01</v>
      </c>
      <c r="J207" s="13"/>
      <c r="K207" s="13"/>
      <c r="L207" s="13"/>
      <c r="M207" s="13"/>
    </row>
    <row r="208" spans="1:13" x14ac:dyDescent="0.25">
      <c r="A208" t="s">
        <v>278</v>
      </c>
      <c r="D208" s="2">
        <v>25</v>
      </c>
      <c r="G208" s="13">
        <v>138.28</v>
      </c>
      <c r="H208" s="13">
        <f t="shared" si="7"/>
        <v>25</v>
      </c>
      <c r="I208" s="13">
        <v>117.96</v>
      </c>
      <c r="J208" s="13"/>
      <c r="K208" s="13"/>
      <c r="L208" s="13"/>
      <c r="M208" s="13"/>
    </row>
    <row r="209" spans="1:13" x14ac:dyDescent="0.25">
      <c r="A209" t="s">
        <v>279</v>
      </c>
      <c r="D209" s="2">
        <v>25</v>
      </c>
      <c r="G209" s="13">
        <v>390.82</v>
      </c>
      <c r="H209" s="13">
        <f t="shared" si="7"/>
        <v>25</v>
      </c>
      <c r="I209" s="13">
        <v>100.16</v>
      </c>
      <c r="J209" s="13"/>
      <c r="K209" s="13"/>
      <c r="L209" s="13"/>
      <c r="M209" s="13"/>
    </row>
    <row r="210" spans="1:13" x14ac:dyDescent="0.25">
      <c r="A210" t="s">
        <v>280</v>
      </c>
      <c r="D210" s="2">
        <v>25</v>
      </c>
      <c r="G210" s="13">
        <v>241.24</v>
      </c>
      <c r="H210" s="13">
        <f t="shared" si="7"/>
        <v>25</v>
      </c>
      <c r="I210" s="13">
        <v>154.44999999999999</v>
      </c>
      <c r="J210" s="13"/>
      <c r="K210" s="13"/>
      <c r="L210" s="13"/>
      <c r="M210" s="13"/>
    </row>
    <row r="211" spans="1:13" x14ac:dyDescent="0.25">
      <c r="A211" t="s">
        <v>281</v>
      </c>
      <c r="D211" s="2">
        <v>15</v>
      </c>
      <c r="G211" s="13">
        <v>120.33</v>
      </c>
      <c r="H211" s="13">
        <f t="shared" si="7"/>
        <v>15</v>
      </c>
      <c r="I211" s="13">
        <v>1221.1300000000001</v>
      </c>
      <c r="J211" s="13"/>
      <c r="K211" s="13"/>
      <c r="L211" s="13"/>
      <c r="M211" s="13"/>
    </row>
    <row r="212" spans="1:13" x14ac:dyDescent="0.25">
      <c r="A212" t="s">
        <v>282</v>
      </c>
      <c r="D212" s="2">
        <v>15</v>
      </c>
      <c r="G212" s="13">
        <v>19.71</v>
      </c>
      <c r="H212" s="13">
        <f t="shared" si="7"/>
        <v>15</v>
      </c>
      <c r="I212" s="13">
        <v>380</v>
      </c>
      <c r="J212" s="13"/>
      <c r="K212" s="13"/>
      <c r="L212" s="13"/>
      <c r="M212" s="13"/>
    </row>
    <row r="213" spans="1:13" x14ac:dyDescent="0.25">
      <c r="A213" t="s">
        <v>283</v>
      </c>
      <c r="D213" s="2">
        <v>15</v>
      </c>
      <c r="G213" s="13">
        <v>137.84</v>
      </c>
      <c r="H213" s="13">
        <f t="shared" si="7"/>
        <v>15</v>
      </c>
      <c r="I213" s="13">
        <v>692.21</v>
      </c>
      <c r="J213" s="13"/>
      <c r="K213" s="13"/>
      <c r="L213" s="13"/>
      <c r="M213" s="13"/>
    </row>
    <row r="214" spans="1:13" x14ac:dyDescent="0.25">
      <c r="A214" t="s">
        <v>284</v>
      </c>
      <c r="D214" s="2">
        <v>15</v>
      </c>
      <c r="G214" s="13">
        <v>109.41</v>
      </c>
      <c r="H214" s="13">
        <f t="shared" si="7"/>
        <v>15</v>
      </c>
      <c r="I214" s="13">
        <v>254.78</v>
      </c>
      <c r="J214" s="13"/>
      <c r="K214" s="13"/>
      <c r="L214" s="13"/>
      <c r="M214" s="13"/>
    </row>
    <row r="215" spans="1:13" x14ac:dyDescent="0.25">
      <c r="A215" t="s">
        <v>271</v>
      </c>
      <c r="G215" s="13">
        <v>18.059999999999999</v>
      </c>
      <c r="H215" s="13"/>
      <c r="I215" s="13">
        <v>34.06</v>
      </c>
      <c r="J215" s="13"/>
      <c r="K215" s="13"/>
      <c r="L215" s="13"/>
      <c r="M215" s="13">
        <v>10000</v>
      </c>
    </row>
    <row r="216" spans="1:13" x14ac:dyDescent="0.25">
      <c r="G216" s="13">
        <v>83.59</v>
      </c>
      <c r="H216" s="13"/>
      <c r="I216" s="13">
        <v>310.20999999999998</v>
      </c>
      <c r="J216" s="13"/>
      <c r="K216" s="13"/>
      <c r="L216" s="13"/>
      <c r="M216" s="13"/>
    </row>
    <row r="217" spans="1:13" x14ac:dyDescent="0.25">
      <c r="G217" s="13">
        <v>119.25</v>
      </c>
      <c r="H217" s="13"/>
      <c r="I217" s="13">
        <v>8.56</v>
      </c>
      <c r="J217" s="13"/>
      <c r="K217" s="13"/>
      <c r="L217" s="13"/>
      <c r="M217" s="13"/>
    </row>
    <row r="218" spans="1:13" x14ac:dyDescent="0.25">
      <c r="G218" s="13">
        <v>41.03</v>
      </c>
      <c r="H218" s="13"/>
      <c r="I218" s="13">
        <v>150</v>
      </c>
      <c r="J218" s="13"/>
      <c r="K218" s="13"/>
      <c r="L218" s="13"/>
      <c r="M218" s="13"/>
    </row>
    <row r="219" spans="1:13" x14ac:dyDescent="0.25">
      <c r="G219" s="13">
        <v>67.72</v>
      </c>
      <c r="H219" s="13"/>
      <c r="I219" s="13">
        <v>10.29</v>
      </c>
      <c r="J219" s="13"/>
      <c r="K219" s="13"/>
      <c r="L219" s="13"/>
      <c r="M219" s="13"/>
    </row>
    <row r="220" spans="1:13" x14ac:dyDescent="0.25">
      <c r="G220" s="13">
        <v>55.09</v>
      </c>
      <c r="H220" s="13"/>
      <c r="I220" s="13"/>
      <c r="J220" s="13"/>
      <c r="K220" s="13"/>
      <c r="L220" s="13"/>
      <c r="M220" s="13"/>
    </row>
    <row r="221" spans="1:13" x14ac:dyDescent="0.25">
      <c r="G221" s="13">
        <v>58.07</v>
      </c>
      <c r="H221" s="13"/>
      <c r="I221" s="13"/>
      <c r="J221" s="13"/>
      <c r="K221" s="13"/>
      <c r="L221" s="13"/>
      <c r="M221" s="13"/>
    </row>
    <row r="222" spans="1:13" x14ac:dyDescent="0.25">
      <c r="G222" s="13"/>
      <c r="H222" s="13"/>
      <c r="I222" s="13"/>
      <c r="J222" s="13"/>
      <c r="K222" s="13"/>
      <c r="L222" s="13"/>
      <c r="M222" s="13"/>
    </row>
    <row r="223" spans="1:13" x14ac:dyDescent="0.25">
      <c r="B223" s="1"/>
      <c r="G223" s="13"/>
      <c r="H223" s="13"/>
      <c r="I223" s="13"/>
      <c r="J223" s="13"/>
      <c r="K223" s="13"/>
      <c r="L223" s="13"/>
      <c r="M223" s="13"/>
    </row>
    <row r="231" spans="1:13" x14ac:dyDescent="0.25">
      <c r="G231" s="63">
        <f>SUM(G206:G230)</f>
        <v>2016.9399999999996</v>
      </c>
      <c r="H231" s="63">
        <f>SUM(H206:H230)</f>
        <v>227.5</v>
      </c>
      <c r="I231" s="63">
        <f>SUM(I206:I230)</f>
        <v>3630.78</v>
      </c>
      <c r="J231" s="63"/>
      <c r="K231" s="43"/>
      <c r="L231" s="43"/>
      <c r="M231" s="63">
        <f>SUM(M206:M230)</f>
        <v>10000</v>
      </c>
    </row>
    <row r="232" spans="1:13" x14ac:dyDescent="0.25">
      <c r="G232" s="63">
        <f>G231*0.03</f>
        <v>60.508199999999988</v>
      </c>
      <c r="H232" s="63">
        <f>H231*0.03</f>
        <v>6.8250000000000002</v>
      </c>
      <c r="I232" s="63">
        <f>I231*0.03</f>
        <v>108.9234</v>
      </c>
      <c r="J232" s="63"/>
      <c r="K232" s="63">
        <f>K231*0.03</f>
        <v>0</v>
      </c>
      <c r="L232" s="63"/>
      <c r="M232" s="63">
        <f>M231*0.03</f>
        <v>300</v>
      </c>
    </row>
    <row r="233" spans="1:13" x14ac:dyDescent="0.25">
      <c r="G233" s="64">
        <f>SUM(G231:G232)</f>
        <v>2077.4481999999998</v>
      </c>
      <c r="H233" s="64">
        <f>SUM(H231:H232)</f>
        <v>234.32499999999999</v>
      </c>
      <c r="I233" s="64">
        <f>SUM(I231:I232)</f>
        <v>3739.7034000000003</v>
      </c>
      <c r="J233" s="64"/>
      <c r="K233" s="64">
        <f>SUM(K231:K232)</f>
        <v>0</v>
      </c>
      <c r="L233" s="64"/>
      <c r="M233" s="64">
        <f>SUM(M231:M232)</f>
        <v>10300</v>
      </c>
    </row>
    <row r="235" spans="1:13" x14ac:dyDescent="0.25">
      <c r="B235" t="s">
        <v>254</v>
      </c>
    </row>
    <row r="236" spans="1:13" x14ac:dyDescent="0.25">
      <c r="B236" t="s">
        <v>257</v>
      </c>
      <c r="G236" s="250">
        <v>600</v>
      </c>
    </row>
    <row r="238" spans="1:13" x14ac:dyDescent="0.25">
      <c r="B238" s="260" t="s">
        <v>259</v>
      </c>
      <c r="C238" s="260" t="s">
        <v>260</v>
      </c>
      <c r="D238" s="260" t="s">
        <v>273</v>
      </c>
      <c r="G238" s="225" t="s">
        <v>247</v>
      </c>
      <c r="H238" s="225" t="s">
        <v>255</v>
      </c>
      <c r="I238" s="225" t="s">
        <v>256</v>
      </c>
      <c r="J238" s="225"/>
      <c r="K238" s="225" t="s">
        <v>250</v>
      </c>
      <c r="L238" s="225"/>
      <c r="M238" s="225" t="s">
        <v>146</v>
      </c>
    </row>
    <row r="239" spans="1:13" x14ac:dyDescent="0.25">
      <c r="A239" t="s">
        <v>263</v>
      </c>
      <c r="B239" s="1">
        <v>600</v>
      </c>
      <c r="D239" s="2">
        <v>7.5</v>
      </c>
      <c r="G239" s="13">
        <v>243.07</v>
      </c>
      <c r="H239" s="13">
        <f>B239*0.1+D239</f>
        <v>67.5</v>
      </c>
      <c r="I239" s="13">
        <v>6</v>
      </c>
      <c r="J239" s="13"/>
      <c r="K239" s="13"/>
      <c r="L239" s="13"/>
      <c r="M239" s="13"/>
    </row>
    <row r="240" spans="1:13" x14ac:dyDescent="0.25">
      <c r="A240" t="s">
        <v>275</v>
      </c>
      <c r="B240" s="2">
        <v>1200</v>
      </c>
      <c r="D240" s="2">
        <v>15</v>
      </c>
      <c r="G240" s="13">
        <v>33.51</v>
      </c>
      <c r="H240" s="13">
        <f>B240</f>
        <v>1200</v>
      </c>
      <c r="I240" s="13"/>
      <c r="J240" s="13"/>
      <c r="K240" s="13"/>
      <c r="L240" s="13"/>
      <c r="M240" s="13"/>
    </row>
    <row r="241" spans="1:13" x14ac:dyDescent="0.25">
      <c r="A241" t="s">
        <v>276</v>
      </c>
      <c r="D241" s="2">
        <v>15</v>
      </c>
      <c r="G241" s="13">
        <v>156.97999999999999</v>
      </c>
      <c r="H241" s="13"/>
      <c r="I241" s="13"/>
      <c r="J241" s="13"/>
      <c r="K241" s="13"/>
      <c r="L241" s="13"/>
      <c r="M241" s="13"/>
    </row>
    <row r="242" spans="1:13" x14ac:dyDescent="0.25">
      <c r="A242" s="263" t="s">
        <v>270</v>
      </c>
      <c r="G242" s="13">
        <v>101.71</v>
      </c>
      <c r="H242" s="13"/>
      <c r="I242" s="13"/>
      <c r="J242" s="13"/>
      <c r="K242" s="13"/>
      <c r="L242" s="13"/>
      <c r="M242" s="265">
        <v>8000</v>
      </c>
    </row>
    <row r="243" spans="1:13" x14ac:dyDescent="0.25">
      <c r="G243" s="13">
        <v>171.68</v>
      </c>
      <c r="H243" s="13"/>
      <c r="I243" s="13"/>
      <c r="J243" s="13"/>
      <c r="K243" s="13"/>
      <c r="L243" s="13"/>
      <c r="M243" s="13"/>
    </row>
    <row r="244" spans="1:13" x14ac:dyDescent="0.25">
      <c r="G244" s="13">
        <v>189.95</v>
      </c>
      <c r="H244" s="13"/>
      <c r="I244" s="13"/>
      <c r="J244" s="13"/>
      <c r="K244" s="13"/>
      <c r="L244" s="13"/>
      <c r="M244" s="13"/>
    </row>
    <row r="245" spans="1:13" x14ac:dyDescent="0.25">
      <c r="G245" s="13">
        <v>99.47</v>
      </c>
      <c r="H245" s="13"/>
      <c r="I245" s="13"/>
      <c r="J245" s="13"/>
      <c r="K245" s="13"/>
      <c r="L245" s="13"/>
      <c r="M245" s="13"/>
    </row>
    <row r="246" spans="1:13" x14ac:dyDescent="0.25">
      <c r="G246" s="13">
        <v>270.58</v>
      </c>
      <c r="H246" s="13"/>
      <c r="I246" s="13"/>
      <c r="J246" s="13"/>
      <c r="K246" s="13"/>
      <c r="L246" s="13"/>
      <c r="M246" s="13"/>
    </row>
    <row r="247" spans="1:13" x14ac:dyDescent="0.25">
      <c r="B247" s="260"/>
      <c r="C247" s="260"/>
      <c r="G247" s="13">
        <v>46.22</v>
      </c>
      <c r="H247" s="13"/>
      <c r="I247" s="13"/>
      <c r="J247" s="13"/>
      <c r="K247" s="13"/>
      <c r="L247" s="13"/>
      <c r="M247" s="13"/>
    </row>
    <row r="248" spans="1:13" x14ac:dyDescent="0.25">
      <c r="G248" s="13">
        <v>324.39999999999998</v>
      </c>
      <c r="H248" s="13"/>
      <c r="I248" s="13"/>
      <c r="J248" s="13"/>
      <c r="K248" s="13"/>
      <c r="L248" s="13"/>
      <c r="M248" s="13"/>
    </row>
    <row r="249" spans="1:13" x14ac:dyDescent="0.25">
      <c r="G249" s="13">
        <v>110.94</v>
      </c>
      <c r="H249" s="13"/>
      <c r="I249" s="13"/>
      <c r="J249" s="13"/>
      <c r="K249" s="13"/>
      <c r="L249" s="13"/>
      <c r="M249" s="13"/>
    </row>
    <row r="250" spans="1:13" x14ac:dyDescent="0.25">
      <c r="G250" s="13">
        <v>107.14</v>
      </c>
      <c r="H250" s="13"/>
      <c r="I250" s="13"/>
      <c r="J250" s="13"/>
      <c r="K250" s="13"/>
      <c r="L250" s="13"/>
      <c r="M250" s="13"/>
    </row>
    <row r="251" spans="1:13" x14ac:dyDescent="0.25">
      <c r="B251" s="1"/>
      <c r="G251" s="13">
        <v>85.47</v>
      </c>
      <c r="H251" s="13"/>
      <c r="I251" s="13"/>
      <c r="J251" s="13"/>
      <c r="K251" s="13"/>
      <c r="L251" s="13"/>
      <c r="M251" s="13"/>
    </row>
    <row r="252" spans="1:13" x14ac:dyDescent="0.25">
      <c r="G252" s="13">
        <v>30.59</v>
      </c>
      <c r="H252" s="13"/>
      <c r="I252" s="13"/>
      <c r="J252" s="13"/>
      <c r="K252" s="13"/>
      <c r="L252" s="13"/>
      <c r="M252" s="13"/>
    </row>
    <row r="253" spans="1:13" x14ac:dyDescent="0.25">
      <c r="G253" s="13">
        <v>23.6</v>
      </c>
      <c r="H253" s="13"/>
      <c r="I253" s="13"/>
      <c r="J253" s="13"/>
      <c r="K253" s="13"/>
      <c r="L253" s="13"/>
      <c r="M253" s="13"/>
    </row>
    <row r="254" spans="1:13" x14ac:dyDescent="0.25">
      <c r="G254" s="13">
        <v>295.43</v>
      </c>
      <c r="H254" s="13"/>
      <c r="I254" s="13"/>
      <c r="J254" s="13"/>
      <c r="K254" s="13"/>
      <c r="L254" s="13"/>
      <c r="M254" s="13"/>
    </row>
    <row r="255" spans="1:13" x14ac:dyDescent="0.25">
      <c r="G255" s="13"/>
      <c r="H255" s="13"/>
      <c r="I255" s="13"/>
      <c r="J255" s="13"/>
      <c r="K255" s="13"/>
      <c r="L255" s="13"/>
      <c r="M255" s="13"/>
    </row>
    <row r="256" spans="1:13" x14ac:dyDescent="0.25">
      <c r="G256" s="13"/>
      <c r="H256" s="13"/>
      <c r="I256" s="13"/>
      <c r="J256" s="13"/>
      <c r="K256" s="13"/>
      <c r="L256" s="13"/>
      <c r="M256" s="13"/>
    </row>
    <row r="257" spans="1:21" x14ac:dyDescent="0.25">
      <c r="G257" s="13"/>
      <c r="H257" s="13"/>
      <c r="I257" s="13">
        <v>200</v>
      </c>
      <c r="J257" s="13"/>
      <c r="K257" s="13"/>
      <c r="L257" s="13"/>
      <c r="M257" s="13"/>
    </row>
    <row r="258" spans="1:21" x14ac:dyDescent="0.25">
      <c r="G258" s="13"/>
      <c r="H258" s="13"/>
      <c r="I258" s="13"/>
      <c r="J258" s="13"/>
      <c r="K258" s="13"/>
      <c r="L258" s="13"/>
      <c r="M258" s="13"/>
    </row>
    <row r="259" spans="1:21" x14ac:dyDescent="0.25">
      <c r="G259" s="13"/>
      <c r="H259" s="13"/>
      <c r="I259" s="13"/>
      <c r="J259" s="13"/>
      <c r="K259" s="13"/>
      <c r="L259" s="13"/>
      <c r="M259" s="13"/>
    </row>
    <row r="260" spans="1:21" x14ac:dyDescent="0.25">
      <c r="G260" s="13"/>
      <c r="H260" s="13"/>
      <c r="I260" s="13"/>
      <c r="J260" s="13"/>
      <c r="K260" s="13"/>
      <c r="L260" s="13"/>
      <c r="M260" s="13"/>
    </row>
    <row r="261" spans="1:21" x14ac:dyDescent="0.25">
      <c r="G261" s="13"/>
      <c r="H261" s="13"/>
      <c r="I261" s="13"/>
      <c r="J261" s="13"/>
      <c r="K261" s="13"/>
      <c r="L261" s="13"/>
      <c r="M261" s="13"/>
      <c r="U261" s="324" t="s">
        <v>431</v>
      </c>
    </row>
    <row r="262" spans="1:21" x14ac:dyDescent="0.25">
      <c r="G262" s="13"/>
      <c r="H262" s="13"/>
      <c r="I262" s="13"/>
      <c r="J262" s="13"/>
      <c r="K262" s="13"/>
      <c r="L262" s="13"/>
      <c r="M262" s="13"/>
      <c r="U262" s="43" t="s">
        <v>73</v>
      </c>
    </row>
    <row r="263" spans="1:21" x14ac:dyDescent="0.25">
      <c r="G263" s="13"/>
      <c r="H263" s="13"/>
      <c r="I263" s="13"/>
      <c r="J263" s="13"/>
      <c r="K263" s="13"/>
      <c r="L263" s="13"/>
      <c r="M263" s="13"/>
      <c r="U263" s="36" t="s">
        <v>74</v>
      </c>
    </row>
    <row r="264" spans="1:21" x14ac:dyDescent="0.25">
      <c r="G264" s="13"/>
      <c r="H264" s="13"/>
      <c r="I264" s="13"/>
      <c r="J264" s="13"/>
      <c r="K264" s="13"/>
      <c r="L264" s="13"/>
      <c r="M264" s="13"/>
      <c r="U264" s="43" t="s">
        <v>75</v>
      </c>
    </row>
    <row r="265" spans="1:21" x14ac:dyDescent="0.25">
      <c r="G265" s="13"/>
      <c r="H265" s="13"/>
      <c r="I265" s="13"/>
      <c r="J265" s="13"/>
      <c r="K265" s="13"/>
      <c r="L265" s="13"/>
      <c r="M265" s="13"/>
      <c r="U265" s="36" t="s">
        <v>77</v>
      </c>
    </row>
    <row r="266" spans="1:21" x14ac:dyDescent="0.25">
      <c r="G266" s="64">
        <f>SUM(G239:G265)</f>
        <v>2290.7400000000002</v>
      </c>
      <c r="H266" s="64">
        <f>SUM(H239:H265)</f>
        <v>1267.5</v>
      </c>
      <c r="I266" s="64">
        <f>SUM(I239:I265)</f>
        <v>206</v>
      </c>
      <c r="J266" s="64"/>
      <c r="K266" s="64"/>
      <c r="L266" s="64"/>
      <c r="M266" s="64">
        <f>SUM(M239:M265)</f>
        <v>8000</v>
      </c>
      <c r="U266" s="43" t="s">
        <v>78</v>
      </c>
    </row>
    <row r="267" spans="1:21" x14ac:dyDescent="0.25">
      <c r="G267" s="64">
        <f>G266*0.03</f>
        <v>68.722200000000001</v>
      </c>
      <c r="H267" s="64">
        <f>H266*0.03</f>
        <v>38.024999999999999</v>
      </c>
      <c r="I267" s="64">
        <f>I266*0.03</f>
        <v>6.18</v>
      </c>
      <c r="J267" s="64"/>
      <c r="K267" s="64">
        <f>K266*0.03</f>
        <v>0</v>
      </c>
      <c r="L267" s="64"/>
      <c r="M267" s="64">
        <f>M266*0.03</f>
        <v>240</v>
      </c>
      <c r="U267" s="36" t="s">
        <v>100</v>
      </c>
    </row>
    <row r="268" spans="1:21" x14ac:dyDescent="0.25">
      <c r="G268" s="63">
        <f>SUM(G266:G267)</f>
        <v>2359.4622000000004</v>
      </c>
      <c r="H268" s="63">
        <f>SUM(H266:H267)</f>
        <v>1305.5250000000001</v>
      </c>
      <c r="I268" s="63">
        <f>SUM(I266:I267)</f>
        <v>212.18</v>
      </c>
      <c r="J268" s="63"/>
      <c r="K268" s="63">
        <f>SUM(K266:K267)</f>
        <v>0</v>
      </c>
      <c r="L268" s="63"/>
      <c r="M268" s="63">
        <f>SUM(M266:M267)</f>
        <v>8240</v>
      </c>
      <c r="U268" s="43" t="s">
        <v>79</v>
      </c>
    </row>
    <row r="269" spans="1:21" x14ac:dyDescent="0.25">
      <c r="U269" s="36" t="s">
        <v>80</v>
      </c>
    </row>
    <row r="270" spans="1:21" ht="18.75" x14ac:dyDescent="0.3">
      <c r="G270" s="267" t="s">
        <v>286</v>
      </c>
      <c r="U270" s="43" t="s">
        <v>81</v>
      </c>
    </row>
    <row r="271" spans="1:21" x14ac:dyDescent="0.25">
      <c r="U271" s="36" t="s">
        <v>82</v>
      </c>
    </row>
    <row r="272" spans="1:21" x14ac:dyDescent="0.25">
      <c r="A272" s="252"/>
      <c r="B272" s="252" t="s">
        <v>73</v>
      </c>
      <c r="C272" s="252" t="s">
        <v>74</v>
      </c>
      <c r="D272" s="252" t="s">
        <v>91</v>
      </c>
      <c r="E272" s="252" t="s">
        <v>75</v>
      </c>
      <c r="F272" s="252" t="s">
        <v>76</v>
      </c>
      <c r="G272" s="252" t="s">
        <v>95</v>
      </c>
      <c r="H272" s="252" t="s">
        <v>87</v>
      </c>
      <c r="I272" s="252" t="s">
        <v>290</v>
      </c>
      <c r="J272" s="252" t="s">
        <v>292</v>
      </c>
      <c r="K272" s="252" t="s">
        <v>291</v>
      </c>
      <c r="L272" s="252" t="s">
        <v>533</v>
      </c>
      <c r="M272" s="252" t="s">
        <v>430</v>
      </c>
      <c r="N272" s="252" t="s">
        <v>433</v>
      </c>
      <c r="O272" s="252" t="s">
        <v>434</v>
      </c>
      <c r="Q272" t="s">
        <v>65</v>
      </c>
      <c r="U272" s="43" t="s">
        <v>83</v>
      </c>
    </row>
    <row r="273" spans="1:21" x14ac:dyDescent="0.25">
      <c r="A273" s="13">
        <v>1</v>
      </c>
      <c r="B273" s="13">
        <v>19000</v>
      </c>
      <c r="C273" s="13">
        <v>45000</v>
      </c>
      <c r="D273" s="13">
        <v>792.82</v>
      </c>
      <c r="E273" s="13">
        <v>3140.52</v>
      </c>
      <c r="F273" s="274">
        <v>22000</v>
      </c>
      <c r="G273" s="13">
        <v>5210.16</v>
      </c>
      <c r="H273" s="13">
        <v>2638.29</v>
      </c>
      <c r="I273" s="13">
        <v>2898.81</v>
      </c>
      <c r="J273" s="13">
        <v>4000</v>
      </c>
      <c r="K273" s="13">
        <v>789.8</v>
      </c>
      <c r="L273" s="13">
        <v>10350</v>
      </c>
      <c r="M273" s="272">
        <v>1</v>
      </c>
      <c r="N273" s="13">
        <v>1</v>
      </c>
      <c r="O273" s="13">
        <v>1</v>
      </c>
      <c r="P273" s="274">
        <v>20000</v>
      </c>
      <c r="Q273" s="286" t="s">
        <v>432</v>
      </c>
      <c r="U273" s="36" t="s">
        <v>84</v>
      </c>
    </row>
    <row r="274" spans="1:21" x14ac:dyDescent="0.25">
      <c r="A274" s="13"/>
      <c r="B274" s="13"/>
      <c r="C274" s="13"/>
      <c r="D274" s="13"/>
      <c r="E274" s="13"/>
      <c r="F274" s="13"/>
      <c r="G274" s="13"/>
      <c r="H274" s="495">
        <f>'Office Capitol Priority'!K3</f>
        <v>1500</v>
      </c>
      <c r="I274" s="13"/>
      <c r="J274" s="13"/>
      <c r="K274" s="13"/>
      <c r="L274" s="13"/>
      <c r="N274" s="264">
        <v>80000</v>
      </c>
      <c r="O274" s="1"/>
      <c r="P274" s="264">
        <v>80000</v>
      </c>
      <c r="Q274" s="286" t="s">
        <v>435</v>
      </c>
      <c r="U274" s="43" t="s">
        <v>85</v>
      </c>
    </row>
    <row r="275" spans="1:21" x14ac:dyDescent="0.25">
      <c r="A275" s="13"/>
      <c r="B275" s="13"/>
      <c r="C275" s="13"/>
      <c r="D275" s="13"/>
      <c r="E275" s="13"/>
      <c r="F275" s="13"/>
      <c r="G275" s="13"/>
      <c r="H275" s="491">
        <f>'Office Capitol Priority'!K4</f>
        <v>300</v>
      </c>
      <c r="I275" s="13"/>
      <c r="J275" s="13"/>
      <c r="K275" s="13"/>
      <c r="L275" s="13"/>
      <c r="N275" s="496">
        <f>'Water Asset priority'!J3</f>
        <v>50000</v>
      </c>
      <c r="P275" s="495">
        <f>H274</f>
        <v>1500</v>
      </c>
      <c r="Q275" t="s">
        <v>609</v>
      </c>
      <c r="U275" s="36" t="s">
        <v>86</v>
      </c>
    </row>
    <row r="276" spans="1:21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>
        <v>1800</v>
      </c>
      <c r="L276" s="13"/>
      <c r="P276" s="491">
        <f>H275</f>
        <v>300</v>
      </c>
      <c r="Q276" t="s">
        <v>609</v>
      </c>
      <c r="U276" s="43" t="s">
        <v>87</v>
      </c>
    </row>
    <row r="277" spans="1:21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P277" s="496">
        <f>N275</f>
        <v>50000</v>
      </c>
      <c r="Q277" t="s">
        <v>264</v>
      </c>
      <c r="U277" s="36" t="s">
        <v>88</v>
      </c>
    </row>
    <row r="278" spans="1:21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U278" s="43" t="s">
        <v>89</v>
      </c>
    </row>
    <row r="279" spans="1:21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U279" s="36" t="s">
        <v>90</v>
      </c>
    </row>
    <row r="280" spans="1:21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U280" s="43" t="s">
        <v>91</v>
      </c>
    </row>
    <row r="281" spans="1:21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U281" s="36" t="s">
        <v>92</v>
      </c>
    </row>
    <row r="282" spans="1:21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U282" s="43" t="s">
        <v>93</v>
      </c>
    </row>
    <row r="283" spans="1:21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U283" s="36" t="s">
        <v>94</v>
      </c>
    </row>
    <row r="284" spans="1:21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U284" s="43" t="s">
        <v>95</v>
      </c>
    </row>
    <row r="285" spans="1:21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U285" s="36" t="s">
        <v>96</v>
      </c>
    </row>
    <row r="286" spans="1:21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U286" s="43" t="s">
        <v>98</v>
      </c>
    </row>
    <row r="287" spans="1:21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U287" s="36" t="s">
        <v>298</v>
      </c>
    </row>
    <row r="288" spans="1:21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U288" s="323" t="s">
        <v>299</v>
      </c>
    </row>
    <row r="289" spans="1:15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5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5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5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5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5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5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5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5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5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5" x14ac:dyDescent="0.25">
      <c r="A299" s="64">
        <f t="shared" ref="A299:K299" si="8">SUM(A273:A298)</f>
        <v>1</v>
      </c>
      <c r="B299" s="64">
        <f t="shared" si="8"/>
        <v>19000</v>
      </c>
      <c r="C299" s="64">
        <f t="shared" si="8"/>
        <v>45000</v>
      </c>
      <c r="D299" s="64">
        <f t="shared" si="8"/>
        <v>792.82</v>
      </c>
      <c r="E299" s="64">
        <f t="shared" si="8"/>
        <v>3140.52</v>
      </c>
      <c r="F299" s="64">
        <f t="shared" si="8"/>
        <v>22000</v>
      </c>
      <c r="G299" s="64">
        <f t="shared" si="8"/>
        <v>5210.16</v>
      </c>
      <c r="H299" s="64">
        <f t="shared" si="8"/>
        <v>4438.29</v>
      </c>
      <c r="I299" s="64">
        <f>SUM(I273:I298)</f>
        <v>2898.81</v>
      </c>
      <c r="J299" s="64">
        <f>SUM(J273:J298)</f>
        <v>4000</v>
      </c>
      <c r="K299" s="64">
        <f t="shared" si="8"/>
        <v>2589.8000000000002</v>
      </c>
      <c r="L299" s="64">
        <f>SUM(L273:L298)</f>
        <v>10350</v>
      </c>
      <c r="M299" s="13"/>
    </row>
    <row r="300" spans="1:15" x14ac:dyDescent="0.25">
      <c r="A300" s="64">
        <f>A299*0.03</f>
        <v>0.03</v>
      </c>
      <c r="B300" s="64">
        <f t="shared" ref="B300:I300" si="9">B299*0.03</f>
        <v>570</v>
      </c>
      <c r="C300" s="64">
        <f t="shared" si="9"/>
        <v>1350</v>
      </c>
      <c r="D300" s="64">
        <f t="shared" si="9"/>
        <v>23.784600000000001</v>
      </c>
      <c r="E300" s="64">
        <f t="shared" si="9"/>
        <v>94.215599999999995</v>
      </c>
      <c r="F300" s="64">
        <f t="shared" si="9"/>
        <v>660</v>
      </c>
      <c r="G300" s="64">
        <f t="shared" si="9"/>
        <v>156.3048</v>
      </c>
      <c r="H300" s="64">
        <f t="shared" si="9"/>
        <v>133.14869999999999</v>
      </c>
      <c r="I300" s="64">
        <f t="shared" si="9"/>
        <v>86.964299999999994</v>
      </c>
      <c r="J300" s="64">
        <f>J299*0.03</f>
        <v>120</v>
      </c>
      <c r="K300" s="64">
        <f>K299*0.03</f>
        <v>77.694000000000003</v>
      </c>
      <c r="L300" s="64">
        <f>L299*0.03</f>
        <v>310.5</v>
      </c>
    </row>
    <row r="301" spans="1:15" x14ac:dyDescent="0.25">
      <c r="A301" s="273">
        <f>SUM(A299:A300)</f>
        <v>1.03</v>
      </c>
      <c r="B301" s="273">
        <f t="shared" ref="B301:K301" si="10">SUM(B299:B300)</f>
        <v>19570</v>
      </c>
      <c r="C301" s="273">
        <f t="shared" si="10"/>
        <v>46350</v>
      </c>
      <c r="D301" s="273">
        <f t="shared" si="10"/>
        <v>816.6046</v>
      </c>
      <c r="E301" s="273">
        <f t="shared" si="10"/>
        <v>3234.7356</v>
      </c>
      <c r="F301" s="273">
        <f t="shared" si="10"/>
        <v>22660</v>
      </c>
      <c r="G301" s="273">
        <f t="shared" si="10"/>
        <v>5366.4647999999997</v>
      </c>
      <c r="H301" s="273">
        <f t="shared" si="10"/>
        <v>4571.4386999999997</v>
      </c>
      <c r="I301" s="273">
        <f t="shared" si="10"/>
        <v>2985.7743</v>
      </c>
      <c r="J301" s="273">
        <f>SUM(J299:J300)</f>
        <v>4120</v>
      </c>
      <c r="K301" s="273">
        <f t="shared" si="10"/>
        <v>2667.4940000000001</v>
      </c>
      <c r="L301" s="273">
        <f>SUM(L299:L300)</f>
        <v>10660.5</v>
      </c>
      <c r="M301" s="1">
        <f>SUM(M273:M300)</f>
        <v>1</v>
      </c>
      <c r="N301" s="273">
        <f>SUM(N273:N300)</f>
        <v>130001</v>
      </c>
      <c r="O301" s="13">
        <f>SUM(O273:O300)</f>
        <v>1</v>
      </c>
    </row>
    <row r="304" spans="1:15" ht="18.75" x14ac:dyDescent="0.3">
      <c r="G304" s="267" t="s">
        <v>289</v>
      </c>
    </row>
    <row r="306" spans="1:17" x14ac:dyDescent="0.25">
      <c r="A306" s="252"/>
      <c r="B306" s="252" t="s">
        <v>73</v>
      </c>
      <c r="C306" s="252" t="s">
        <v>74</v>
      </c>
      <c r="D306" s="252" t="s">
        <v>91</v>
      </c>
      <c r="E306" s="252" t="s">
        <v>75</v>
      </c>
      <c r="F306" s="252" t="s">
        <v>76</v>
      </c>
      <c r="G306" s="252" t="s">
        <v>95</v>
      </c>
      <c r="H306" s="252" t="s">
        <v>87</v>
      </c>
      <c r="I306" s="252" t="s">
        <v>290</v>
      </c>
      <c r="J306" s="252" t="s">
        <v>292</v>
      </c>
      <c r="K306" s="252" t="s">
        <v>291</v>
      </c>
      <c r="L306" s="252" t="s">
        <v>533</v>
      </c>
      <c r="M306" s="252" t="s">
        <v>430</v>
      </c>
      <c r="N306" s="252" t="s">
        <v>433</v>
      </c>
      <c r="O306" s="252" t="s">
        <v>434</v>
      </c>
      <c r="Q306" t="s">
        <v>65</v>
      </c>
    </row>
    <row r="307" spans="1:17" x14ac:dyDescent="0.25">
      <c r="A307" s="398">
        <v>44346</v>
      </c>
      <c r="B307" s="269">
        <v>16298.44</v>
      </c>
      <c r="C307" s="269">
        <v>3639</v>
      </c>
      <c r="D307" s="269">
        <v>2694.58</v>
      </c>
      <c r="E307" s="269">
        <v>12157.13</v>
      </c>
      <c r="F307" s="269">
        <v>10000</v>
      </c>
      <c r="G307" s="269">
        <v>11583.5</v>
      </c>
      <c r="H307" s="269">
        <v>2475.66</v>
      </c>
      <c r="I307" s="269">
        <v>2482.89</v>
      </c>
      <c r="J307" s="269">
        <v>4000</v>
      </c>
      <c r="K307" s="269">
        <v>277.2</v>
      </c>
      <c r="L307" s="269">
        <v>10350</v>
      </c>
      <c r="M307" s="269">
        <v>1</v>
      </c>
      <c r="N307" s="492">
        <f>'Sanitation Capitol Priority'!J3</f>
        <v>57000</v>
      </c>
      <c r="O307" s="269">
        <v>1</v>
      </c>
      <c r="P307" s="493">
        <f>N307</f>
        <v>57000</v>
      </c>
      <c r="Q307" s="286" t="s">
        <v>530</v>
      </c>
    </row>
    <row r="308" spans="1:17" x14ac:dyDescent="0.25">
      <c r="A308" s="263"/>
      <c r="B308" s="269"/>
      <c r="C308" s="269"/>
      <c r="D308" s="269"/>
      <c r="E308" s="269"/>
      <c r="F308" s="269"/>
      <c r="H308" s="492">
        <f>'Office Capitol Priority'!K3</f>
        <v>1500</v>
      </c>
      <c r="I308" s="269"/>
      <c r="J308" s="269"/>
      <c r="K308" s="269"/>
      <c r="L308" s="269"/>
      <c r="N308" s="523">
        <f>'Sanitation Capitol Priority'!J4</f>
        <v>50000</v>
      </c>
      <c r="P308" s="493">
        <f>H308</f>
        <v>1500</v>
      </c>
      <c r="Q308" s="286" t="s">
        <v>293</v>
      </c>
    </row>
    <row r="309" spans="1:17" x14ac:dyDescent="0.25">
      <c r="B309" s="269"/>
      <c r="C309" s="269"/>
      <c r="D309" s="269"/>
      <c r="E309" s="269"/>
      <c r="F309" s="269"/>
      <c r="G309" s="269"/>
      <c r="H309" s="494">
        <f>'Office Capitol Priority'!K4</f>
        <v>300</v>
      </c>
      <c r="I309" s="269"/>
      <c r="J309" s="269"/>
      <c r="K309" s="269"/>
      <c r="L309" s="269"/>
      <c r="P309" s="491">
        <f>H309</f>
        <v>300</v>
      </c>
      <c r="Q309" s="286" t="s">
        <v>293</v>
      </c>
    </row>
    <row r="310" spans="1:17" x14ac:dyDescent="0.25">
      <c r="B310" s="269"/>
      <c r="C310" s="269"/>
      <c r="D310" s="269"/>
      <c r="E310" s="269"/>
      <c r="F310" s="269"/>
      <c r="G310" s="269"/>
      <c r="H310" s="269"/>
      <c r="I310" s="269"/>
      <c r="J310" s="269"/>
      <c r="K310" s="269"/>
      <c r="L310" s="269"/>
      <c r="P310" s="523">
        <f>N308</f>
        <v>50000</v>
      </c>
      <c r="Q310" s="286" t="s">
        <v>264</v>
      </c>
    </row>
    <row r="311" spans="1:17" x14ac:dyDescent="0.25">
      <c r="B311" s="269"/>
      <c r="C311" s="269"/>
      <c r="D311" s="269"/>
      <c r="E311" s="269"/>
      <c r="F311" s="269"/>
      <c r="G311" s="269"/>
      <c r="H311" s="269"/>
      <c r="I311" s="269"/>
      <c r="J311" s="269"/>
      <c r="K311" s="269"/>
      <c r="L311" s="269"/>
    </row>
    <row r="312" spans="1:17" x14ac:dyDescent="0.25">
      <c r="B312" s="269"/>
      <c r="C312" s="269"/>
      <c r="D312" s="269"/>
      <c r="E312" s="269"/>
      <c r="F312" s="269"/>
      <c r="G312" s="269"/>
      <c r="H312" s="269"/>
      <c r="I312" s="269"/>
      <c r="J312" s="269"/>
      <c r="K312" s="269"/>
      <c r="L312" s="269"/>
    </row>
    <row r="313" spans="1:17" x14ac:dyDescent="0.25">
      <c r="A313" s="286" t="s">
        <v>529</v>
      </c>
      <c r="B313" s="269">
        <v>2200</v>
      </c>
      <c r="C313" s="269">
        <v>400</v>
      </c>
      <c r="D313" s="269">
        <v>269</v>
      </c>
      <c r="E313" s="269">
        <v>2000</v>
      </c>
      <c r="F313" s="269"/>
      <c r="G313" s="269">
        <v>1500</v>
      </c>
      <c r="H313" s="269">
        <v>260</v>
      </c>
      <c r="I313" s="269">
        <v>500</v>
      </c>
      <c r="J313" s="269"/>
      <c r="K313" s="269">
        <v>300</v>
      </c>
      <c r="L313" s="269"/>
    </row>
    <row r="314" spans="1:17" x14ac:dyDescent="0.25">
      <c r="B314" s="269"/>
      <c r="C314" s="269"/>
      <c r="D314" s="269"/>
      <c r="E314" s="269"/>
      <c r="F314" s="269"/>
      <c r="G314" s="269"/>
      <c r="H314" s="269"/>
      <c r="I314" s="269"/>
      <c r="J314" s="269"/>
      <c r="K314" s="269"/>
      <c r="L314" s="269"/>
    </row>
    <row r="315" spans="1:17" x14ac:dyDescent="0.25">
      <c r="B315" s="269"/>
      <c r="C315" s="269"/>
      <c r="D315" s="269"/>
      <c r="E315" s="269"/>
      <c r="F315" s="269"/>
      <c r="G315" s="269"/>
      <c r="H315" s="269"/>
      <c r="I315" s="269"/>
      <c r="J315" s="269"/>
      <c r="K315" s="269">
        <v>1000</v>
      </c>
      <c r="L315" s="269"/>
    </row>
    <row r="316" spans="1:17" x14ac:dyDescent="0.25">
      <c r="B316" s="269"/>
      <c r="C316" s="269"/>
      <c r="D316" s="269"/>
      <c r="E316" s="269"/>
      <c r="F316" s="269"/>
      <c r="G316" s="269"/>
      <c r="H316" s="269"/>
      <c r="I316" s="269"/>
      <c r="J316" s="269"/>
      <c r="K316" s="269">
        <v>1000</v>
      </c>
      <c r="L316" s="269"/>
    </row>
    <row r="317" spans="1:17" x14ac:dyDescent="0.25">
      <c r="B317" s="269"/>
      <c r="C317" s="269"/>
      <c r="D317" s="269"/>
      <c r="E317" s="269"/>
      <c r="F317" s="269"/>
      <c r="G317" s="269"/>
      <c r="H317" s="269"/>
      <c r="I317" s="269"/>
      <c r="J317" s="269"/>
      <c r="K317" s="269"/>
      <c r="L317" s="269"/>
    </row>
    <row r="318" spans="1:17" x14ac:dyDescent="0.25">
      <c r="B318" s="269"/>
      <c r="C318" s="269"/>
      <c r="D318" s="269"/>
      <c r="E318" s="269"/>
      <c r="F318" s="269"/>
      <c r="G318" s="269"/>
      <c r="H318" s="269"/>
      <c r="I318" s="269"/>
      <c r="J318" s="269"/>
      <c r="K318" s="269"/>
      <c r="L318" s="269"/>
    </row>
    <row r="319" spans="1:17" x14ac:dyDescent="0.25">
      <c r="B319" s="269"/>
      <c r="C319" s="269"/>
      <c r="D319" s="269"/>
      <c r="E319" s="269"/>
      <c r="F319" s="269"/>
      <c r="G319" s="269"/>
      <c r="H319" s="269"/>
      <c r="I319" s="269"/>
      <c r="J319" s="269"/>
      <c r="K319" s="269"/>
      <c r="L319" s="269"/>
    </row>
    <row r="320" spans="1:17" x14ac:dyDescent="0.25">
      <c r="B320" s="269"/>
      <c r="C320" s="269"/>
      <c r="D320" s="269"/>
      <c r="E320" s="269"/>
      <c r="F320" s="269"/>
      <c r="G320" s="269"/>
      <c r="H320" s="269"/>
      <c r="I320" s="269"/>
      <c r="J320" s="269"/>
      <c r="K320" s="269"/>
      <c r="L320" s="269"/>
    </row>
    <row r="321" spans="1:15" x14ac:dyDescent="0.25">
      <c r="B321" s="269"/>
      <c r="C321" s="269"/>
      <c r="D321" s="269"/>
      <c r="E321" s="269"/>
      <c r="F321" s="269"/>
      <c r="G321" s="269"/>
      <c r="H321" s="269"/>
      <c r="I321" s="269"/>
      <c r="J321" s="269"/>
      <c r="K321" s="269"/>
      <c r="L321" s="269"/>
    </row>
    <row r="322" spans="1:15" x14ac:dyDescent="0.25">
      <c r="B322" s="269"/>
      <c r="C322" s="269"/>
      <c r="D322" s="269"/>
      <c r="E322" s="269"/>
      <c r="F322" s="269"/>
      <c r="G322" s="269"/>
      <c r="H322" s="269"/>
      <c r="I322" s="269"/>
      <c r="J322" s="269"/>
      <c r="K322" s="269"/>
      <c r="L322" s="269"/>
    </row>
    <row r="323" spans="1:15" x14ac:dyDescent="0.25">
      <c r="B323" s="269"/>
      <c r="C323" s="269"/>
      <c r="D323" s="269"/>
      <c r="E323" s="269"/>
      <c r="F323" s="269"/>
      <c r="G323" s="269"/>
      <c r="H323" s="269"/>
      <c r="I323" s="269"/>
      <c r="J323" s="269"/>
      <c r="K323" s="269"/>
      <c r="L323" s="269"/>
    </row>
    <row r="324" spans="1:15" x14ac:dyDescent="0.25">
      <c r="B324" s="269"/>
      <c r="C324" s="269"/>
      <c r="D324" s="269"/>
      <c r="E324" s="269"/>
      <c r="F324" s="269"/>
      <c r="G324" s="269"/>
      <c r="H324" s="269"/>
      <c r="I324" s="269"/>
      <c r="J324" s="269"/>
      <c r="K324" s="269"/>
      <c r="L324" s="269"/>
    </row>
    <row r="325" spans="1:15" x14ac:dyDescent="0.25">
      <c r="B325" s="269"/>
      <c r="C325" s="269"/>
      <c r="D325" s="269"/>
      <c r="E325" s="269"/>
      <c r="F325" s="269"/>
      <c r="G325" s="269"/>
      <c r="H325" s="269"/>
      <c r="I325" s="269"/>
      <c r="J325" s="269"/>
      <c r="K325" s="269"/>
      <c r="L325" s="269"/>
    </row>
    <row r="326" spans="1:15" x14ac:dyDescent="0.25">
      <c r="B326" s="269"/>
      <c r="C326" s="269"/>
      <c r="D326" s="269"/>
      <c r="E326" s="269"/>
      <c r="F326" s="269"/>
      <c r="G326" s="269"/>
      <c r="H326" s="269"/>
      <c r="I326" s="269"/>
      <c r="J326" s="269"/>
      <c r="K326" s="269"/>
      <c r="L326" s="269"/>
    </row>
    <row r="327" spans="1:15" x14ac:dyDescent="0.25">
      <c r="B327" s="269"/>
      <c r="C327" s="269"/>
      <c r="D327" s="269"/>
      <c r="E327" s="269"/>
      <c r="F327" s="269"/>
      <c r="G327" s="269"/>
      <c r="H327" s="269"/>
      <c r="I327" s="269"/>
      <c r="J327" s="269"/>
      <c r="K327" s="269"/>
      <c r="L327" s="269"/>
    </row>
    <row r="328" spans="1:15" x14ac:dyDescent="0.25">
      <c r="B328" s="269"/>
      <c r="C328" s="269"/>
      <c r="D328" s="269"/>
      <c r="E328" s="269"/>
      <c r="F328" s="269"/>
      <c r="G328" s="269"/>
      <c r="H328" s="269"/>
      <c r="I328" s="269"/>
      <c r="J328" s="269"/>
      <c r="K328" s="269"/>
      <c r="L328" s="269"/>
    </row>
    <row r="329" spans="1:15" x14ac:dyDescent="0.25">
      <c r="B329" s="269"/>
      <c r="C329" s="269"/>
      <c r="D329" s="269"/>
      <c r="E329" s="269"/>
      <c r="F329" s="269"/>
      <c r="G329" s="269"/>
      <c r="H329" s="269"/>
      <c r="I329" s="269"/>
      <c r="J329" s="269"/>
      <c r="K329" s="269"/>
      <c r="L329" s="269"/>
    </row>
    <row r="330" spans="1:15" x14ac:dyDescent="0.25">
      <c r="B330" s="269"/>
      <c r="C330" s="269"/>
      <c r="D330" s="269"/>
      <c r="E330" s="269"/>
      <c r="F330" s="269"/>
      <c r="G330" s="269"/>
      <c r="H330" s="269"/>
      <c r="I330" s="269"/>
      <c r="J330" s="269"/>
      <c r="K330" s="269"/>
      <c r="L330" s="269"/>
    </row>
    <row r="331" spans="1:15" x14ac:dyDescent="0.25">
      <c r="B331" s="269"/>
      <c r="C331" s="269"/>
      <c r="D331" s="269"/>
      <c r="E331" s="269"/>
      <c r="F331" s="269"/>
      <c r="G331" s="269"/>
      <c r="H331" s="269"/>
      <c r="I331" s="269"/>
      <c r="J331" s="269"/>
      <c r="K331" s="269"/>
      <c r="L331" s="269"/>
    </row>
    <row r="332" spans="1:15" x14ac:dyDescent="0.25">
      <c r="B332" s="271">
        <f t="shared" ref="B332:K332" si="11">SUM(B307:B331)</f>
        <v>18498.440000000002</v>
      </c>
      <c r="C332" s="271">
        <f t="shared" si="11"/>
        <v>4039</v>
      </c>
      <c r="D332" s="271">
        <f t="shared" si="11"/>
        <v>2963.58</v>
      </c>
      <c r="E332" s="271">
        <f t="shared" si="11"/>
        <v>14157.13</v>
      </c>
      <c r="F332" s="271">
        <f t="shared" si="11"/>
        <v>10000</v>
      </c>
      <c r="G332" s="271">
        <f t="shared" si="11"/>
        <v>13083.5</v>
      </c>
      <c r="H332" s="271">
        <f t="shared" si="11"/>
        <v>4535.66</v>
      </c>
      <c r="I332" s="271">
        <f t="shared" si="11"/>
        <v>2982.89</v>
      </c>
      <c r="J332" s="271">
        <f>SUM(J307:J331)</f>
        <v>4000</v>
      </c>
      <c r="K332" s="271">
        <f t="shared" si="11"/>
        <v>2577.1999999999998</v>
      </c>
      <c r="L332" s="271">
        <f>SUM(L307:L331)</f>
        <v>10350</v>
      </c>
    </row>
    <row r="333" spans="1:15" x14ac:dyDescent="0.25">
      <c r="A333" s="268"/>
      <c r="B333" s="271">
        <f>B332*0.03</f>
        <v>554.95320000000004</v>
      </c>
      <c r="C333" s="271">
        <f t="shared" ref="C333:K333" si="12">C332*0.03</f>
        <v>121.17</v>
      </c>
      <c r="D333" s="271">
        <f t="shared" si="12"/>
        <v>88.907399999999996</v>
      </c>
      <c r="E333" s="271">
        <f t="shared" si="12"/>
        <v>424.71389999999997</v>
      </c>
      <c r="F333" s="271">
        <f t="shared" si="12"/>
        <v>300</v>
      </c>
      <c r="G333" s="271">
        <f t="shared" si="12"/>
        <v>392.505</v>
      </c>
      <c r="H333" s="271">
        <f t="shared" si="12"/>
        <v>136.06979999999999</v>
      </c>
      <c r="I333" s="271">
        <f t="shared" si="12"/>
        <v>89.486699999999999</v>
      </c>
      <c r="J333" s="271">
        <f>J332*0.03</f>
        <v>120</v>
      </c>
      <c r="K333" s="271">
        <f t="shared" si="12"/>
        <v>77.315999999999988</v>
      </c>
      <c r="L333" s="271">
        <f>L332*0.03</f>
        <v>310.5</v>
      </c>
    </row>
    <row r="334" spans="1:15" x14ac:dyDescent="0.25">
      <c r="A334" s="268"/>
      <c r="B334" s="270">
        <f>SUM(B332:B333)</f>
        <v>19053.393200000002</v>
      </c>
      <c r="C334" s="270">
        <f t="shared" ref="C334:K334" si="13">SUM(C332:C333)</f>
        <v>4160.17</v>
      </c>
      <c r="D334" s="270">
        <f t="shared" si="13"/>
        <v>3052.4874</v>
      </c>
      <c r="E334" s="270">
        <f t="shared" si="13"/>
        <v>14581.8439</v>
      </c>
      <c r="F334" s="270">
        <f t="shared" si="13"/>
        <v>10300</v>
      </c>
      <c r="G334" s="270">
        <f t="shared" si="13"/>
        <v>13476.004999999999</v>
      </c>
      <c r="H334" s="270">
        <f t="shared" si="13"/>
        <v>4671.7298000000001</v>
      </c>
      <c r="I334" s="270">
        <f t="shared" si="13"/>
        <v>3072.3766999999998</v>
      </c>
      <c r="J334" s="270">
        <f>SUM(J332:J333)</f>
        <v>4120</v>
      </c>
      <c r="K334" s="270">
        <f t="shared" si="13"/>
        <v>2654.5159999999996</v>
      </c>
      <c r="L334" s="270">
        <f>SUM(L332:L333)</f>
        <v>10660.5</v>
      </c>
      <c r="M334" s="13">
        <f>SUM(M307:M333)</f>
        <v>1</v>
      </c>
      <c r="N334" s="13">
        <f>SUM(N307:N333)</f>
        <v>107000</v>
      </c>
      <c r="O334" s="13">
        <f>SUM(O307:O333)</f>
        <v>1</v>
      </c>
    </row>
    <row r="338" spans="1:17" ht="18.75" x14ac:dyDescent="0.3">
      <c r="G338" s="267" t="s">
        <v>288</v>
      </c>
      <c r="Q338" t="s">
        <v>65</v>
      </c>
    </row>
    <row r="340" spans="1:17" x14ac:dyDescent="0.25">
      <c r="A340" s="252"/>
      <c r="B340" s="252" t="s">
        <v>73</v>
      </c>
      <c r="C340" s="252" t="s">
        <v>74</v>
      </c>
      <c r="D340" s="252" t="s">
        <v>91</v>
      </c>
      <c r="E340" s="252" t="s">
        <v>75</v>
      </c>
      <c r="F340" s="252" t="s">
        <v>76</v>
      </c>
      <c r="G340" s="252" t="s">
        <v>95</v>
      </c>
      <c r="H340" s="252" t="s">
        <v>87</v>
      </c>
      <c r="I340" s="252" t="s">
        <v>290</v>
      </c>
      <c r="J340" s="252" t="s">
        <v>292</v>
      </c>
      <c r="K340" s="252" t="s">
        <v>291</v>
      </c>
      <c r="L340" s="252" t="s">
        <v>533</v>
      </c>
      <c r="M340" s="252" t="s">
        <v>430</v>
      </c>
      <c r="N340" s="252" t="s">
        <v>433</v>
      </c>
      <c r="O340" s="252" t="s">
        <v>434</v>
      </c>
    </row>
    <row r="341" spans="1:17" x14ac:dyDescent="0.25">
      <c r="A341" s="398">
        <v>44346</v>
      </c>
      <c r="B341" s="13">
        <v>2709.83</v>
      </c>
      <c r="C341" s="13">
        <v>2022.7</v>
      </c>
      <c r="D341" s="13">
        <v>2489.39</v>
      </c>
      <c r="E341" s="13">
        <v>884.87</v>
      </c>
      <c r="F341" s="13"/>
      <c r="G341" s="13">
        <v>3850.4</v>
      </c>
      <c r="H341" s="13">
        <v>71.72</v>
      </c>
      <c r="I341" s="13">
        <v>428.37</v>
      </c>
      <c r="J341" s="13"/>
      <c r="K341" s="13">
        <v>3242.8</v>
      </c>
      <c r="L341" s="13">
        <v>7640</v>
      </c>
      <c r="M341" s="13">
        <v>65000</v>
      </c>
      <c r="N341" s="488">
        <f>SimpleInvoice10[[#Totals],[Price]]</f>
        <v>10250</v>
      </c>
      <c r="O341" s="13">
        <v>1</v>
      </c>
      <c r="Q341" s="489" t="s">
        <v>606</v>
      </c>
    </row>
    <row r="342" spans="1:17" x14ac:dyDescent="0.25">
      <c r="B342" s="13"/>
      <c r="C342" s="13"/>
      <c r="D342" s="13"/>
      <c r="E342" s="13"/>
      <c r="F342" s="13"/>
      <c r="G342" s="13"/>
      <c r="H342" s="351">
        <f>'Office Capitol Priority'!J3/4</f>
        <v>1500</v>
      </c>
      <c r="I342" s="13"/>
      <c r="J342" s="13"/>
      <c r="K342" s="13"/>
      <c r="L342" s="13"/>
      <c r="P342" s="490">
        <f>'Office Capitol Priority'!K3</f>
        <v>1500</v>
      </c>
      <c r="Q342" t="s">
        <v>450</v>
      </c>
    </row>
    <row r="343" spans="1:17" x14ac:dyDescent="0.25">
      <c r="B343" s="13"/>
      <c r="C343" s="13"/>
      <c r="D343" s="13"/>
      <c r="E343" s="13"/>
      <c r="F343" s="13"/>
      <c r="G343" s="13"/>
      <c r="H343" s="491">
        <f>'Office Capitol Priority'!K4</f>
        <v>300</v>
      </c>
      <c r="I343" s="13"/>
      <c r="J343" s="13"/>
      <c r="K343" s="13"/>
      <c r="L343" s="13"/>
      <c r="P343" s="491">
        <f>H343</f>
        <v>300</v>
      </c>
      <c r="Q343" t="s">
        <v>607</v>
      </c>
    </row>
    <row r="344" spans="1:17" x14ac:dyDescent="0.25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7" x14ac:dyDescent="0.25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7" x14ac:dyDescent="0.25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7" x14ac:dyDescent="0.25">
      <c r="A347" s="286" t="s">
        <v>529</v>
      </c>
      <c r="B347" s="13">
        <v>300</v>
      </c>
      <c r="C347" s="13">
        <v>200</v>
      </c>
      <c r="D347" s="13">
        <v>200</v>
      </c>
      <c r="E347" s="13">
        <v>100</v>
      </c>
      <c r="F347" s="13"/>
      <c r="G347" s="13">
        <v>400</v>
      </c>
      <c r="H347" s="13"/>
      <c r="I347" s="13">
        <v>60</v>
      </c>
      <c r="J347" s="13"/>
      <c r="K347" s="13">
        <v>8000</v>
      </c>
      <c r="L347" s="13"/>
    </row>
    <row r="348" spans="1:17" x14ac:dyDescent="0.25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7" x14ac:dyDescent="0.25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7" x14ac:dyDescent="0.25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7" x14ac:dyDescent="0.25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7" x14ac:dyDescent="0.25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2:15" x14ac:dyDescent="0.25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2:15" x14ac:dyDescent="0.25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2:15" x14ac:dyDescent="0.25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2:15" x14ac:dyDescent="0.25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2:15" x14ac:dyDescent="0.25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2:15" x14ac:dyDescent="0.25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2:15" x14ac:dyDescent="0.25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2:15" x14ac:dyDescent="0.25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2:15" x14ac:dyDescent="0.25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2:15" x14ac:dyDescent="0.25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2:15" x14ac:dyDescent="0.25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2:15" x14ac:dyDescent="0.25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2:15" x14ac:dyDescent="0.25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2:15" x14ac:dyDescent="0.25">
      <c r="B366" s="64">
        <f>SUM(B341:B365)</f>
        <v>3009.83</v>
      </c>
      <c r="C366" s="64">
        <f>SUM(C341:C365)</f>
        <v>2222.6999999999998</v>
      </c>
      <c r="D366" s="64">
        <f>SUM(D341:D365)</f>
        <v>2689.39</v>
      </c>
      <c r="E366" s="64">
        <f>SUM(E341:E365)</f>
        <v>984.87</v>
      </c>
      <c r="F366" s="64"/>
      <c r="G366" s="64">
        <f t="shared" ref="G366:L366" si="14">SUM(G341:G365)</f>
        <v>4250.3999999999996</v>
      </c>
      <c r="H366" s="64">
        <f t="shared" si="14"/>
        <v>1871.72</v>
      </c>
      <c r="I366" s="64">
        <f t="shared" si="14"/>
        <v>488.37</v>
      </c>
      <c r="J366" s="64">
        <f t="shared" si="14"/>
        <v>0</v>
      </c>
      <c r="K366" s="64">
        <f t="shared" si="14"/>
        <v>11242.8</v>
      </c>
      <c r="L366" s="64">
        <f t="shared" si="14"/>
        <v>7640</v>
      </c>
      <c r="M366" s="13"/>
      <c r="N366" s="13"/>
    </row>
    <row r="367" spans="2:15" x14ac:dyDescent="0.25">
      <c r="B367" s="64">
        <f>B366*0.03</f>
        <v>90.294899999999998</v>
      </c>
      <c r="C367" s="64">
        <f t="shared" ref="C367:K367" si="15">C366*0.03</f>
        <v>66.680999999999997</v>
      </c>
      <c r="D367" s="64">
        <f t="shared" si="15"/>
        <v>80.681699999999992</v>
      </c>
      <c r="E367" s="64">
        <f t="shared" si="15"/>
        <v>29.546099999999999</v>
      </c>
      <c r="F367" s="64">
        <f t="shared" si="15"/>
        <v>0</v>
      </c>
      <c r="G367" s="64">
        <f t="shared" si="15"/>
        <v>127.51199999999999</v>
      </c>
      <c r="H367" s="64">
        <f t="shared" si="15"/>
        <v>56.151600000000002</v>
      </c>
      <c r="I367" s="64">
        <f t="shared" si="15"/>
        <v>14.6511</v>
      </c>
      <c r="J367" s="64">
        <f>J366*0.03</f>
        <v>0</v>
      </c>
      <c r="K367" s="64">
        <f t="shared" si="15"/>
        <v>337.28399999999999</v>
      </c>
      <c r="L367" s="64">
        <f>L366*0.03</f>
        <v>229.2</v>
      </c>
    </row>
    <row r="368" spans="2:15" x14ac:dyDescent="0.25">
      <c r="B368" s="273">
        <f>SUM(B366:B367)</f>
        <v>3100.1248999999998</v>
      </c>
      <c r="C368" s="273">
        <f t="shared" ref="C368:K368" si="16">SUM(C366:C367)</f>
        <v>2289.3809999999999</v>
      </c>
      <c r="D368" s="273">
        <f t="shared" si="16"/>
        <v>2770.0717</v>
      </c>
      <c r="E368" s="273">
        <f t="shared" si="16"/>
        <v>1014.4161</v>
      </c>
      <c r="F368" s="273">
        <f t="shared" si="16"/>
        <v>0</v>
      </c>
      <c r="G368" s="273">
        <f t="shared" si="16"/>
        <v>4377.9119999999994</v>
      </c>
      <c r="H368" s="273">
        <f t="shared" si="16"/>
        <v>1927.8715999999999</v>
      </c>
      <c r="I368" s="273">
        <f t="shared" si="16"/>
        <v>503.02109999999999</v>
      </c>
      <c r="J368" s="273">
        <f>SUM(J366:J367)</f>
        <v>0</v>
      </c>
      <c r="K368" s="273">
        <f t="shared" si="16"/>
        <v>11580.083999999999</v>
      </c>
      <c r="L368" s="273">
        <f>SUM(L366:L367)</f>
        <v>7869.2</v>
      </c>
      <c r="M368" s="13">
        <f>SUM(M341:M367)</f>
        <v>65000</v>
      </c>
      <c r="N368" s="13">
        <f>SUM(N341:N367)</f>
        <v>10250</v>
      </c>
      <c r="O368" s="13">
        <f>SUM(O341:O367)</f>
        <v>1</v>
      </c>
    </row>
    <row r="372" spans="1:17" ht="18.75" x14ac:dyDescent="0.3">
      <c r="G372" s="267" t="s">
        <v>287</v>
      </c>
    </row>
    <row r="374" spans="1:17" x14ac:dyDescent="0.25">
      <c r="A374" s="252"/>
      <c r="B374" s="252" t="s">
        <v>73</v>
      </c>
      <c r="C374" s="252" t="s">
        <v>74</v>
      </c>
      <c r="D374" s="252" t="s">
        <v>91</v>
      </c>
      <c r="E374" s="252" t="s">
        <v>75</v>
      </c>
      <c r="F374" s="252" t="s">
        <v>76</v>
      </c>
      <c r="G374" s="252" t="s">
        <v>95</v>
      </c>
      <c r="H374" s="252" t="s">
        <v>87</v>
      </c>
      <c r="I374" s="252" t="s">
        <v>290</v>
      </c>
      <c r="J374" s="252" t="s">
        <v>292</v>
      </c>
      <c r="K374" s="252" t="s">
        <v>291</v>
      </c>
      <c r="L374" s="252" t="s">
        <v>533</v>
      </c>
      <c r="M374" s="252" t="s">
        <v>430</v>
      </c>
      <c r="N374" s="252" t="s">
        <v>433</v>
      </c>
      <c r="O374" s="252" t="s">
        <v>434</v>
      </c>
      <c r="Q374" t="s">
        <v>65</v>
      </c>
    </row>
    <row r="375" spans="1:17" x14ac:dyDescent="0.25">
      <c r="A375" s="398">
        <v>44346</v>
      </c>
      <c r="B375" s="13">
        <v>7963.94</v>
      </c>
      <c r="C375" s="13">
        <v>72.44</v>
      </c>
      <c r="D375" s="13">
        <v>6329.39</v>
      </c>
      <c r="E375" s="13">
        <v>155.56</v>
      </c>
      <c r="F375" s="13"/>
      <c r="G375" s="13">
        <v>3988.95</v>
      </c>
      <c r="H375" s="13">
        <v>3713.53</v>
      </c>
      <c r="I375" s="13">
        <v>506.58</v>
      </c>
      <c r="J375" s="13"/>
      <c r="K375" s="13">
        <v>3220.8</v>
      </c>
      <c r="L375" s="13">
        <v>7640</v>
      </c>
      <c r="M375" s="13">
        <v>1</v>
      </c>
      <c r="N375" s="488">
        <f>SimpleInvoice9[[#Totals],[Price]]</f>
        <v>13050</v>
      </c>
      <c r="O375" s="13">
        <v>1</v>
      </c>
      <c r="Q375" s="489" t="s">
        <v>606</v>
      </c>
    </row>
    <row r="376" spans="1:17" x14ac:dyDescent="0.25">
      <c r="B376" s="13"/>
      <c r="C376" s="13"/>
      <c r="D376" s="13"/>
      <c r="E376" s="13"/>
      <c r="F376" s="13"/>
      <c r="G376" s="13"/>
      <c r="H376" s="351">
        <f>'Office Capitol Priority'!J3/4</f>
        <v>1500</v>
      </c>
      <c r="I376" s="13"/>
      <c r="J376" s="13"/>
      <c r="K376" s="13">
        <v>770</v>
      </c>
      <c r="L376" s="13"/>
      <c r="P376" s="350">
        <v>1500</v>
      </c>
      <c r="Q376" t="s">
        <v>450</v>
      </c>
    </row>
    <row r="377" spans="1:17" x14ac:dyDescent="0.25">
      <c r="B377" s="13"/>
      <c r="C377" s="13"/>
      <c r="D377" s="13"/>
      <c r="E377" s="13"/>
      <c r="F377" s="13"/>
      <c r="G377" s="13"/>
      <c r="H377" s="491">
        <f>'Office Capitol Priority'!K4</f>
        <v>300</v>
      </c>
      <c r="I377" s="13"/>
      <c r="J377" s="13"/>
      <c r="K377" s="13">
        <v>1617</v>
      </c>
      <c r="L377" s="13"/>
      <c r="P377" s="491">
        <f>H377</f>
        <v>300</v>
      </c>
      <c r="Q377" t="s">
        <v>450</v>
      </c>
    </row>
    <row r="378" spans="1:17" x14ac:dyDescent="0.25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7" x14ac:dyDescent="0.25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7" x14ac:dyDescent="0.25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7" x14ac:dyDescent="0.25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7" x14ac:dyDescent="0.25">
      <c r="B382" s="13"/>
      <c r="C382" s="13"/>
      <c r="D382" s="13"/>
      <c r="E382" s="13"/>
      <c r="F382" s="13"/>
      <c r="G382" s="13"/>
      <c r="H382" s="13"/>
      <c r="I382" s="13"/>
      <c r="J382" s="13"/>
      <c r="K382" s="13">
        <v>3000</v>
      </c>
      <c r="L382" s="13"/>
    </row>
    <row r="383" spans="1:17" x14ac:dyDescent="0.25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7" x14ac:dyDescent="0.25">
      <c r="A384" s="286" t="s">
        <v>529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2:12" x14ac:dyDescent="0.25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2:12" x14ac:dyDescent="0.25">
      <c r="B386" s="13"/>
      <c r="C386" s="13"/>
      <c r="D386" s="13"/>
      <c r="E386" s="13"/>
      <c r="F386" s="13"/>
      <c r="G386" s="13"/>
      <c r="H386" s="13"/>
      <c r="I386" s="13" t="s">
        <v>18</v>
      </c>
      <c r="J386" s="13"/>
      <c r="K386" s="13"/>
      <c r="L386" s="13"/>
    </row>
    <row r="387" spans="2:12" x14ac:dyDescent="0.25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2:12" x14ac:dyDescent="0.25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2:12" x14ac:dyDescent="0.25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2:12" x14ac:dyDescent="0.25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2:12" x14ac:dyDescent="0.25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2:12" x14ac:dyDescent="0.25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2:12" x14ac:dyDescent="0.25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2:12" x14ac:dyDescent="0.25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2:12" x14ac:dyDescent="0.25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2:12" x14ac:dyDescent="0.25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2:12" x14ac:dyDescent="0.25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2:12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2:12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2:12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5" x14ac:dyDescent="0.25">
      <c r="A401" s="36"/>
      <c r="B401" s="64">
        <f>SUM(B375:B400)</f>
        <v>7963.94</v>
      </c>
      <c r="C401" s="64">
        <f>SUM(C375:C400)</f>
        <v>72.44</v>
      </c>
      <c r="D401" s="64">
        <f>SUM(D375:D400)</f>
        <v>6329.39</v>
      </c>
      <c r="E401" s="64">
        <f>SUM(E375:E400)</f>
        <v>155.56</v>
      </c>
      <c r="F401" s="64"/>
      <c r="G401" s="64">
        <f t="shared" ref="G401:O401" si="17">SUM(G375:G400)</f>
        <v>3988.95</v>
      </c>
      <c r="H401" s="64">
        <f t="shared" si="17"/>
        <v>5513.5300000000007</v>
      </c>
      <c r="I401" s="64">
        <f t="shared" si="17"/>
        <v>506.58</v>
      </c>
      <c r="J401" s="64">
        <f t="shared" si="17"/>
        <v>0</v>
      </c>
      <c r="K401" s="64">
        <f t="shared" si="17"/>
        <v>8607.7999999999993</v>
      </c>
      <c r="L401" s="64">
        <f t="shared" si="17"/>
        <v>7640</v>
      </c>
      <c r="M401" s="64">
        <v>0</v>
      </c>
      <c r="N401" s="64">
        <f t="shared" si="17"/>
        <v>13050</v>
      </c>
      <c r="O401" s="64">
        <f t="shared" si="17"/>
        <v>1</v>
      </c>
    </row>
    <row r="402" spans="1:15" x14ac:dyDescent="0.25">
      <c r="A402" s="36"/>
      <c r="B402" s="64">
        <f>B401*0.03</f>
        <v>238.91819999999998</v>
      </c>
      <c r="C402" s="64">
        <f t="shared" ref="C402:K402" si="18">C401*0.03</f>
        <v>2.1732</v>
      </c>
      <c r="D402" s="64">
        <f t="shared" si="18"/>
        <v>189.8817</v>
      </c>
      <c r="E402" s="64">
        <f t="shared" si="18"/>
        <v>4.6668000000000003</v>
      </c>
      <c r="F402" s="64">
        <f t="shared" si="18"/>
        <v>0</v>
      </c>
      <c r="G402" s="64">
        <f t="shared" si="18"/>
        <v>119.66849999999999</v>
      </c>
      <c r="H402" s="64">
        <f t="shared" si="18"/>
        <v>165.4059</v>
      </c>
      <c r="I402" s="64">
        <f t="shared" si="18"/>
        <v>15.197399999999998</v>
      </c>
      <c r="J402" s="64">
        <f>J401*0.03</f>
        <v>0</v>
      </c>
      <c r="K402" s="64">
        <f t="shared" si="18"/>
        <v>258.23399999999998</v>
      </c>
      <c r="L402" s="64">
        <f>L401*0.03</f>
        <v>229.2</v>
      </c>
      <c r="M402" s="64">
        <f>M401*0.03</f>
        <v>0</v>
      </c>
      <c r="N402" s="64">
        <f>N401*0.03</f>
        <v>391.5</v>
      </c>
      <c r="O402" s="64">
        <f>O401*0.03</f>
        <v>0.03</v>
      </c>
    </row>
    <row r="403" spans="1:15" x14ac:dyDescent="0.25">
      <c r="A403" s="39"/>
      <c r="B403" s="273">
        <f>SUM(B401:B402)</f>
        <v>8202.8581999999988</v>
      </c>
      <c r="C403" s="273">
        <f t="shared" ref="C403:K403" si="19">SUM(C401:C402)</f>
        <v>74.613199999999992</v>
      </c>
      <c r="D403" s="273">
        <f t="shared" si="19"/>
        <v>6519.2717000000002</v>
      </c>
      <c r="E403" s="273">
        <f t="shared" si="19"/>
        <v>160.2268</v>
      </c>
      <c r="F403" s="273">
        <f t="shared" si="19"/>
        <v>0</v>
      </c>
      <c r="G403" s="273">
        <f t="shared" si="19"/>
        <v>4108.6184999999996</v>
      </c>
      <c r="H403" s="273">
        <f t="shared" si="19"/>
        <v>5678.9359000000004</v>
      </c>
      <c r="I403" s="273">
        <f t="shared" si="19"/>
        <v>521.77739999999994</v>
      </c>
      <c r="J403" s="273">
        <f>SUM(J401:J402)</f>
        <v>0</v>
      </c>
      <c r="K403" s="273">
        <f t="shared" si="19"/>
        <v>8866.0339999999997</v>
      </c>
      <c r="L403" s="273">
        <f>SUM(L401:L402)</f>
        <v>7869.2</v>
      </c>
      <c r="M403" s="273">
        <f>SUM(M401:M402)</f>
        <v>0</v>
      </c>
      <c r="N403" s="273">
        <f>SUM(N401:N402)</f>
        <v>13441.5</v>
      </c>
      <c r="O403" s="273">
        <f>SUM(O401:O402)</f>
        <v>1.03</v>
      </c>
    </row>
  </sheetData>
  <pageMargins left="0.7" right="0.7" top="0.75" bottom="0.75" header="0.3" footer="0.3"/>
  <pageSetup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47"/>
  <sheetViews>
    <sheetView tabSelected="1" workbookViewId="0">
      <selection activeCell="D22" sqref="D22:D25"/>
    </sheetView>
  </sheetViews>
  <sheetFormatPr defaultRowHeight="15" x14ac:dyDescent="0.25"/>
  <cols>
    <col min="1" max="1" width="19.28515625" customWidth="1"/>
    <col min="2" max="2" width="10.7109375" customWidth="1"/>
    <col min="3" max="3" width="8.85546875" customWidth="1"/>
    <col min="4" max="4" width="9.5703125" customWidth="1"/>
    <col min="5" max="5" width="9.42578125" customWidth="1"/>
    <col min="6" max="7" width="10.140625" customWidth="1"/>
    <col min="8" max="8" width="9.85546875" bestFit="1" customWidth="1"/>
    <col min="11" max="11" width="10.5703125" bestFit="1" customWidth="1"/>
  </cols>
  <sheetData>
    <row r="1" spans="1:18" ht="38.25" customHeight="1" x14ac:dyDescent="0.35">
      <c r="A1" s="207" t="s">
        <v>184</v>
      </c>
      <c r="B1" s="43"/>
      <c r="C1" s="43"/>
      <c r="D1" s="43"/>
      <c r="E1" s="43"/>
      <c r="F1" s="43"/>
      <c r="G1" s="43"/>
      <c r="H1" s="43"/>
      <c r="I1" s="43"/>
      <c r="J1" s="43"/>
      <c r="K1" s="43"/>
      <c r="R1" t="s">
        <v>0</v>
      </c>
    </row>
    <row r="2" spans="1:18" ht="18" customHeight="1" x14ac:dyDescent="0.35">
      <c r="A2" s="207"/>
      <c r="B2" s="43"/>
      <c r="C2" s="43"/>
      <c r="D2" s="43"/>
      <c r="E2" s="43"/>
      <c r="F2" s="43"/>
      <c r="G2" s="43"/>
      <c r="H2" s="127"/>
      <c r="I2" s="43"/>
      <c r="J2" s="43"/>
      <c r="K2" s="43"/>
    </row>
    <row r="3" spans="1:18" ht="24.75" x14ac:dyDescent="0.25">
      <c r="A3" s="208" t="s">
        <v>5</v>
      </c>
      <c r="B3" s="209" t="s">
        <v>27</v>
      </c>
      <c r="C3" s="151"/>
      <c r="D3" s="210" t="s">
        <v>29</v>
      </c>
      <c r="E3" s="151"/>
      <c r="F3" s="210" t="s">
        <v>30</v>
      </c>
      <c r="G3" s="151"/>
      <c r="H3" s="211" t="s">
        <v>35</v>
      </c>
      <c r="I3" s="211" t="s">
        <v>40</v>
      </c>
      <c r="J3" s="211" t="s">
        <v>40</v>
      </c>
      <c r="K3" s="212" t="s">
        <v>4</v>
      </c>
    </row>
    <row r="4" spans="1:18" x14ac:dyDescent="0.25">
      <c r="A4" s="213" t="s">
        <v>36</v>
      </c>
      <c r="B4" s="146"/>
      <c r="C4" s="146"/>
      <c r="D4" s="146"/>
      <c r="E4" s="146"/>
      <c r="F4" s="146"/>
      <c r="G4" s="146"/>
      <c r="H4" s="147"/>
      <c r="I4" s="146"/>
      <c r="J4" s="147"/>
      <c r="K4" s="146">
        <f>B4+D4+F4+H4+P6+I4</f>
        <v>0</v>
      </c>
    </row>
    <row r="5" spans="1:18" x14ac:dyDescent="0.25">
      <c r="A5" s="214" t="s">
        <v>37</v>
      </c>
      <c r="B5" s="151"/>
      <c r="C5" s="151"/>
      <c r="D5" s="151"/>
      <c r="E5" s="151"/>
      <c r="F5" s="151"/>
      <c r="G5" s="151"/>
      <c r="H5" s="140"/>
      <c r="I5" s="140"/>
      <c r="J5" s="140"/>
      <c r="K5" s="151">
        <f>B5+D5+F5+H5+P7+I5</f>
        <v>0</v>
      </c>
    </row>
    <row r="6" spans="1:18" x14ac:dyDescent="0.25">
      <c r="A6" s="215" t="s">
        <v>38</v>
      </c>
      <c r="B6" s="146"/>
      <c r="C6" s="146"/>
      <c r="D6" s="146"/>
      <c r="E6" s="146"/>
      <c r="F6" s="146"/>
      <c r="G6" s="146"/>
      <c r="H6" s="147"/>
      <c r="I6" s="147"/>
      <c r="J6" s="147"/>
      <c r="K6" s="146">
        <f>B6+D6+F6+H6+P8+I6</f>
        <v>0</v>
      </c>
    </row>
    <row r="7" spans="1:18" x14ac:dyDescent="0.25">
      <c r="A7" s="214" t="s">
        <v>39</v>
      </c>
      <c r="B7" s="151"/>
      <c r="C7" s="151"/>
      <c r="D7" s="151"/>
      <c r="E7" s="151"/>
      <c r="F7" s="151"/>
      <c r="G7" s="151"/>
      <c r="H7" s="140"/>
      <c r="I7" s="140"/>
      <c r="J7" s="140"/>
      <c r="K7" s="151">
        <f>B7+D7+F7+H7+P9+I7</f>
        <v>0</v>
      </c>
    </row>
    <row r="8" spans="1:18" x14ac:dyDescent="0.25">
      <c r="A8" s="215" t="s">
        <v>603</v>
      </c>
      <c r="B8" s="145"/>
      <c r="C8" s="146"/>
      <c r="D8" s="145"/>
      <c r="E8" s="146"/>
      <c r="F8" s="145"/>
      <c r="G8" s="146"/>
      <c r="H8" s="147"/>
      <c r="I8" s="147"/>
      <c r="J8" s="147"/>
      <c r="K8" s="146"/>
    </row>
    <row r="9" spans="1:18" s="3" customFormat="1" ht="24.75" x14ac:dyDescent="0.25">
      <c r="A9" s="208" t="s">
        <v>6</v>
      </c>
      <c r="B9" s="209" t="s">
        <v>26</v>
      </c>
      <c r="C9" s="209" t="s">
        <v>27</v>
      </c>
      <c r="D9" s="209" t="s">
        <v>28</v>
      </c>
      <c r="E9" s="209" t="s">
        <v>34</v>
      </c>
      <c r="F9" s="209" t="s">
        <v>34</v>
      </c>
      <c r="G9" s="216" t="s">
        <v>27</v>
      </c>
      <c r="H9" s="217" t="s">
        <v>35</v>
      </c>
      <c r="I9" s="211" t="s">
        <v>40</v>
      </c>
      <c r="J9" s="211" t="s">
        <v>40</v>
      </c>
      <c r="K9" s="212" t="s">
        <v>4</v>
      </c>
    </row>
    <row r="10" spans="1:18" s="3" customFormat="1" x14ac:dyDescent="0.25">
      <c r="A10" s="213" t="s">
        <v>36</v>
      </c>
      <c r="B10" s="155">
        <v>65</v>
      </c>
      <c r="C10" s="218"/>
      <c r="D10" s="155">
        <v>120</v>
      </c>
      <c r="E10" s="218"/>
      <c r="F10" s="218"/>
      <c r="G10" s="146"/>
      <c r="H10" s="218"/>
      <c r="I10" s="218"/>
      <c r="J10" s="218"/>
      <c r="K10" s="155">
        <f>B10+C10+D10+E10+F10+G10+H10+I10</f>
        <v>185</v>
      </c>
    </row>
    <row r="11" spans="1:18" x14ac:dyDescent="0.25">
      <c r="A11" s="214" t="s">
        <v>31</v>
      </c>
      <c r="B11" s="153">
        <v>150</v>
      </c>
      <c r="C11" s="152"/>
      <c r="D11" s="153">
        <v>150</v>
      </c>
      <c r="E11" s="152"/>
      <c r="F11" s="152"/>
      <c r="G11" s="151"/>
      <c r="H11" s="152"/>
      <c r="I11" s="152"/>
      <c r="J11" s="140"/>
      <c r="K11" s="153">
        <f>B11+C11+D11+E11+F11+G11+H11+I11</f>
        <v>300</v>
      </c>
    </row>
    <row r="12" spans="1:18" x14ac:dyDescent="0.25">
      <c r="A12" s="215" t="s">
        <v>33</v>
      </c>
      <c r="B12" s="480">
        <v>82</v>
      </c>
      <c r="C12" s="218"/>
      <c r="D12" s="155">
        <v>82</v>
      </c>
      <c r="E12" s="218"/>
      <c r="F12" s="218"/>
      <c r="G12" s="146"/>
      <c r="H12" s="218"/>
      <c r="I12" s="218"/>
      <c r="J12" s="147"/>
      <c r="K12" s="155">
        <f>B12+C12+D12+E12+F12+G12+H12+I12</f>
        <v>164</v>
      </c>
    </row>
    <row r="13" spans="1:18" x14ac:dyDescent="0.25">
      <c r="A13" s="214" t="s">
        <v>32</v>
      </c>
      <c r="B13" s="481">
        <v>50</v>
      </c>
      <c r="C13" s="152"/>
      <c r="D13" s="153">
        <v>50</v>
      </c>
      <c r="E13" s="152"/>
      <c r="F13" s="152"/>
      <c r="G13" s="151"/>
      <c r="H13" s="152"/>
      <c r="I13" s="152"/>
      <c r="J13" s="140"/>
      <c r="K13" s="153">
        <f>B13+C13+D13+E13+F13+G13+H13+I13</f>
        <v>100</v>
      </c>
    </row>
    <row r="14" spans="1:18" s="3" customFormat="1" x14ac:dyDescent="0.25">
      <c r="A14" s="213" t="s">
        <v>602</v>
      </c>
      <c r="B14" s="148">
        <v>500</v>
      </c>
      <c r="C14" s="146"/>
      <c r="D14" s="145"/>
      <c r="E14" s="146"/>
      <c r="F14" s="145"/>
      <c r="G14" s="146"/>
      <c r="H14" s="218"/>
      <c r="I14" s="218"/>
      <c r="J14" s="218"/>
      <c r="K14" s="155">
        <f>SUM(B14:J14)</f>
        <v>500</v>
      </c>
    </row>
    <row r="15" spans="1:18" s="3" customFormat="1" ht="24.75" x14ac:dyDescent="0.25">
      <c r="A15" s="208" t="s">
        <v>7</v>
      </c>
      <c r="B15" s="209" t="s">
        <v>26</v>
      </c>
      <c r="C15" s="209" t="s">
        <v>27</v>
      </c>
      <c r="D15" s="209" t="s">
        <v>28</v>
      </c>
      <c r="E15" s="209" t="s">
        <v>34</v>
      </c>
      <c r="F15" s="209" t="s">
        <v>34</v>
      </c>
      <c r="G15" s="216" t="s">
        <v>27</v>
      </c>
      <c r="H15" s="217" t="s">
        <v>35</v>
      </c>
      <c r="I15" s="211" t="s">
        <v>40</v>
      </c>
      <c r="J15" s="211" t="s">
        <v>40</v>
      </c>
      <c r="K15" s="212" t="s">
        <v>4</v>
      </c>
    </row>
    <row r="16" spans="1:18" s="3" customFormat="1" x14ac:dyDescent="0.25">
      <c r="A16" s="213" t="s">
        <v>36</v>
      </c>
      <c r="B16" s="155">
        <v>65</v>
      </c>
      <c r="C16" s="218"/>
      <c r="D16" s="155">
        <v>120</v>
      </c>
      <c r="E16" s="218"/>
      <c r="F16" s="218"/>
      <c r="G16" s="146"/>
      <c r="H16" s="155">
        <v>830</v>
      </c>
      <c r="I16" s="218"/>
      <c r="J16" s="218"/>
      <c r="K16" s="155">
        <f>B16+C16+D16+E16+F16+G16+H16+I16</f>
        <v>1015</v>
      </c>
    </row>
    <row r="17" spans="1:18" x14ac:dyDescent="0.25">
      <c r="A17" s="214" t="s">
        <v>31</v>
      </c>
      <c r="B17" s="153">
        <v>150</v>
      </c>
      <c r="C17" s="152"/>
      <c r="D17" s="153">
        <v>150</v>
      </c>
      <c r="E17" s="152"/>
      <c r="F17" s="152"/>
      <c r="G17" s="151"/>
      <c r="H17" s="153">
        <v>300</v>
      </c>
      <c r="I17" s="152"/>
      <c r="J17" s="140"/>
      <c r="K17" s="153">
        <f>B17+C17+D17+E17+F17+G17+H17+I17</f>
        <v>600</v>
      </c>
    </row>
    <row r="18" spans="1:18" x14ac:dyDescent="0.25">
      <c r="A18" s="215" t="s">
        <v>33</v>
      </c>
      <c r="B18" s="155">
        <v>82</v>
      </c>
      <c r="C18" s="218"/>
      <c r="D18" s="155">
        <v>82</v>
      </c>
      <c r="E18" s="218"/>
      <c r="F18" s="218"/>
      <c r="G18" s="146"/>
      <c r="H18" s="155">
        <v>246</v>
      </c>
      <c r="I18" s="218"/>
      <c r="J18" s="147"/>
      <c r="K18" s="155">
        <f>B18+C18+D18+E18+F18+G18+H18+I18</f>
        <v>410</v>
      </c>
    </row>
    <row r="19" spans="1:18" x14ac:dyDescent="0.25">
      <c r="A19" s="214" t="s">
        <v>32</v>
      </c>
      <c r="B19" s="153">
        <v>50</v>
      </c>
      <c r="C19" s="152"/>
      <c r="D19" s="153">
        <v>50</v>
      </c>
      <c r="E19" s="152"/>
      <c r="F19" s="152"/>
      <c r="G19" s="151"/>
      <c r="H19" s="153">
        <v>200</v>
      </c>
      <c r="I19" s="152"/>
      <c r="J19" s="140"/>
      <c r="K19" s="153">
        <f>B19+C19+D19+E19+F19+G19+H19+I19</f>
        <v>300</v>
      </c>
    </row>
    <row r="20" spans="1:18" s="3" customFormat="1" x14ac:dyDescent="0.25">
      <c r="A20" s="213" t="s">
        <v>602</v>
      </c>
      <c r="B20" s="148">
        <v>500</v>
      </c>
      <c r="C20" s="146"/>
      <c r="D20" s="145"/>
      <c r="E20" s="146"/>
      <c r="F20" s="145"/>
      <c r="G20" s="146"/>
      <c r="H20" s="218"/>
      <c r="I20" s="218"/>
      <c r="J20" s="218"/>
      <c r="K20" s="155">
        <f>SUM(B20:J20)</f>
        <v>500</v>
      </c>
    </row>
    <row r="21" spans="1:18" s="3" customFormat="1" ht="24.75" x14ac:dyDescent="0.25">
      <c r="A21" s="208" t="s">
        <v>193</v>
      </c>
      <c r="B21" s="209" t="s">
        <v>26</v>
      </c>
      <c r="C21" s="209" t="s">
        <v>27</v>
      </c>
      <c r="D21" s="209" t="s">
        <v>28</v>
      </c>
      <c r="E21" s="209" t="s">
        <v>34</v>
      </c>
      <c r="F21" s="209" t="s">
        <v>34</v>
      </c>
      <c r="G21" s="216" t="s">
        <v>27</v>
      </c>
      <c r="H21" s="217" t="s">
        <v>35</v>
      </c>
      <c r="I21" s="211" t="s">
        <v>40</v>
      </c>
      <c r="J21" s="211" t="s">
        <v>40</v>
      </c>
      <c r="K21" s="212" t="s">
        <v>4</v>
      </c>
    </row>
    <row r="22" spans="1:18" s="3" customFormat="1" x14ac:dyDescent="0.25">
      <c r="A22" s="213" t="s">
        <v>36</v>
      </c>
      <c r="B22" s="155">
        <v>65</v>
      </c>
      <c r="C22" s="218"/>
      <c r="D22" s="155">
        <v>120</v>
      </c>
      <c r="E22" s="218"/>
      <c r="F22" s="218"/>
      <c r="G22" s="146"/>
      <c r="H22" s="218"/>
      <c r="I22" s="218"/>
      <c r="J22" s="218"/>
      <c r="K22" s="155">
        <f>B22+C22+D22+E22+F22+G22+H22+I22</f>
        <v>185</v>
      </c>
    </row>
    <row r="23" spans="1:18" x14ac:dyDescent="0.25">
      <c r="A23" s="214" t="s">
        <v>31</v>
      </c>
      <c r="B23" s="153">
        <v>150</v>
      </c>
      <c r="C23" s="152"/>
      <c r="D23" s="153">
        <v>150</v>
      </c>
      <c r="E23" s="152"/>
      <c r="F23" s="152"/>
      <c r="G23" s="151"/>
      <c r="H23" s="152"/>
      <c r="I23" s="152"/>
      <c r="J23" s="140"/>
      <c r="K23" s="153">
        <f>B23+C23+D23+E23+F23+G23+H23+I23</f>
        <v>300</v>
      </c>
    </row>
    <row r="24" spans="1:18" x14ac:dyDescent="0.25">
      <c r="A24" s="215" t="s">
        <v>33</v>
      </c>
      <c r="B24" s="155">
        <v>82</v>
      </c>
      <c r="C24" s="218"/>
      <c r="D24" s="155">
        <v>82</v>
      </c>
      <c r="E24" s="218"/>
      <c r="F24" s="218"/>
      <c r="G24" s="146"/>
      <c r="H24" s="218"/>
      <c r="I24" s="218"/>
      <c r="J24" s="147"/>
      <c r="K24" s="155">
        <f>B24+C24+D24+E24+F24+G24+H24+I24</f>
        <v>164</v>
      </c>
    </row>
    <row r="25" spans="1:18" x14ac:dyDescent="0.25">
      <c r="A25" s="214" t="s">
        <v>32</v>
      </c>
      <c r="B25" s="153">
        <v>50</v>
      </c>
      <c r="C25" s="152"/>
      <c r="D25" s="153">
        <v>50</v>
      </c>
      <c r="E25" s="152"/>
      <c r="F25" s="152"/>
      <c r="G25" s="151"/>
      <c r="H25" s="152"/>
      <c r="I25" s="152"/>
      <c r="J25" s="140"/>
      <c r="K25" s="153">
        <f>B25+C25+D25+E25+F25+G25+H25+I25</f>
        <v>100</v>
      </c>
    </row>
    <row r="26" spans="1:18" s="3" customFormat="1" x14ac:dyDescent="0.25">
      <c r="A26" s="213" t="s">
        <v>602</v>
      </c>
      <c r="B26" s="148">
        <v>500</v>
      </c>
      <c r="C26" s="146"/>
      <c r="D26" s="145"/>
      <c r="E26" s="146"/>
      <c r="F26" s="145"/>
      <c r="G26" s="146"/>
      <c r="H26" s="218"/>
      <c r="I26" s="218"/>
      <c r="J26" s="218"/>
      <c r="K26" s="155">
        <f>SUM(B26:J26)</f>
        <v>500</v>
      </c>
    </row>
    <row r="27" spans="1:18" s="3" customFormat="1" ht="15.75" x14ac:dyDescent="0.25">
      <c r="A27" s="208"/>
      <c r="B27" s="150"/>
      <c r="C27" s="151"/>
      <c r="D27" s="150"/>
      <c r="E27" s="151"/>
      <c r="F27" s="150"/>
      <c r="G27" s="151"/>
      <c r="H27" s="152"/>
      <c r="I27" s="152"/>
      <c r="J27" s="152"/>
      <c r="K27" s="230">
        <f>K4+K5+K6+K7+K10+K11+K12+K13+K16+K17+K18+K19+K22+K23+K24+K25</f>
        <v>3823</v>
      </c>
    </row>
    <row r="28" spans="1:18" s="3" customFormat="1" ht="15.75" x14ac:dyDescent="0.25">
      <c r="A28" s="126" t="s">
        <v>199</v>
      </c>
      <c r="B28" s="229">
        <f>B10+B11+B12+B13+B16+B17+B18+B19+H16+H17+H18+H19</f>
        <v>2270</v>
      </c>
      <c r="C28" s="107"/>
      <c r="D28" s="129"/>
      <c r="E28" s="107"/>
      <c r="F28" s="129"/>
      <c r="G28" s="107"/>
      <c r="H28" s="130"/>
      <c r="I28" s="130"/>
      <c r="J28" s="130"/>
      <c r="K28" s="131"/>
    </row>
    <row r="29" spans="1:18" s="3" customFormat="1" ht="15.75" x14ac:dyDescent="0.25">
      <c r="A29" s="126" t="s">
        <v>200</v>
      </c>
      <c r="B29" s="229">
        <f>D10+D11+D12+D13+D16+D17+D18+F30</f>
        <v>754</v>
      </c>
      <c r="C29" s="107"/>
      <c r="D29" s="129"/>
      <c r="E29" s="107"/>
      <c r="F29" s="129"/>
      <c r="G29" s="107"/>
      <c r="H29" s="130"/>
      <c r="I29" s="130"/>
      <c r="J29" s="130"/>
      <c r="K29" s="131">
        <v>1</v>
      </c>
    </row>
    <row r="30" spans="1:18" ht="38.25" customHeight="1" x14ac:dyDescent="0.35">
      <c r="A30" s="207" t="s">
        <v>185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R30" t="s">
        <v>0</v>
      </c>
    </row>
    <row r="31" spans="1:18" ht="18" customHeight="1" x14ac:dyDescent="0.35">
      <c r="A31" s="207"/>
      <c r="B31" s="43"/>
      <c r="C31" s="43"/>
      <c r="D31" s="43"/>
      <c r="E31" s="43"/>
      <c r="F31" s="43"/>
      <c r="G31" s="43"/>
      <c r="H31" s="127"/>
      <c r="I31" s="43"/>
      <c r="J31" s="43"/>
      <c r="K31" s="43"/>
    </row>
    <row r="32" spans="1:18" ht="24.75" x14ac:dyDescent="0.25">
      <c r="A32" s="208" t="s">
        <v>13</v>
      </c>
      <c r="B32" s="209" t="s">
        <v>27</v>
      </c>
      <c r="C32" s="151"/>
      <c r="D32" s="210" t="s">
        <v>29</v>
      </c>
      <c r="E32" s="151"/>
      <c r="F32" s="210" t="s">
        <v>30</v>
      </c>
      <c r="G32" s="151"/>
      <c r="H32" s="211" t="s">
        <v>35</v>
      </c>
      <c r="I32" s="211" t="s">
        <v>40</v>
      </c>
      <c r="J32" s="211" t="s">
        <v>40</v>
      </c>
      <c r="K32" s="212" t="s">
        <v>4</v>
      </c>
    </row>
    <row r="33" spans="1:24" x14ac:dyDescent="0.25">
      <c r="A33" s="213" t="s">
        <v>36</v>
      </c>
      <c r="B33" s="146">
        <v>100</v>
      </c>
      <c r="C33" s="146"/>
      <c r="D33" s="146"/>
      <c r="E33" s="146"/>
      <c r="F33" s="146"/>
      <c r="G33" s="146"/>
      <c r="H33" s="147"/>
      <c r="I33" s="146"/>
      <c r="J33" s="147"/>
      <c r="K33" s="146">
        <f>B33+D33+F33+H33+P35+I33</f>
        <v>100</v>
      </c>
      <c r="U33" s="248" t="s">
        <v>13</v>
      </c>
      <c r="W33" s="286" t="s">
        <v>577</v>
      </c>
      <c r="X33">
        <v>4411</v>
      </c>
    </row>
    <row r="34" spans="1:24" x14ac:dyDescent="0.25">
      <c r="A34" s="214" t="s">
        <v>37</v>
      </c>
      <c r="B34" s="151">
        <v>150</v>
      </c>
      <c r="C34" s="151"/>
      <c r="D34" s="151"/>
      <c r="E34" s="151"/>
      <c r="F34" s="151"/>
      <c r="G34" s="151"/>
      <c r="H34" s="140"/>
      <c r="I34" s="140"/>
      <c r="J34" s="140"/>
      <c r="K34" s="151">
        <f>B34+D34+F34+H34+P36+I34</f>
        <v>150</v>
      </c>
      <c r="U34" s="248" t="s">
        <v>14</v>
      </c>
      <c r="W34" s="286" t="s">
        <v>578</v>
      </c>
      <c r="X34">
        <v>3331</v>
      </c>
    </row>
    <row r="35" spans="1:24" x14ac:dyDescent="0.25">
      <c r="A35" s="215" t="s">
        <v>38</v>
      </c>
      <c r="B35" s="146">
        <v>82</v>
      </c>
      <c r="C35" s="146"/>
      <c r="D35" s="146"/>
      <c r="E35" s="146"/>
      <c r="F35" s="146"/>
      <c r="G35" s="146"/>
      <c r="H35" s="147"/>
      <c r="I35" s="147"/>
      <c r="J35" s="147"/>
      <c r="K35" s="146">
        <f>B35+D35+F35+H35+P37+I35</f>
        <v>82</v>
      </c>
      <c r="U35" s="248" t="s">
        <v>15</v>
      </c>
      <c r="W35" s="286" t="s">
        <v>579</v>
      </c>
      <c r="X35">
        <v>3313</v>
      </c>
    </row>
    <row r="36" spans="1:24" x14ac:dyDescent="0.25">
      <c r="A36" s="214" t="s">
        <v>39</v>
      </c>
      <c r="B36" s="154"/>
      <c r="C36" s="151"/>
      <c r="D36" s="151"/>
      <c r="E36" s="151"/>
      <c r="F36" s="151"/>
      <c r="G36" s="151"/>
      <c r="H36" s="140"/>
      <c r="I36" s="140"/>
      <c r="J36" s="140"/>
      <c r="K36" s="151">
        <f>B36+D36+F36+H36+P38+I36</f>
        <v>0</v>
      </c>
      <c r="U36" s="248" t="s">
        <v>5</v>
      </c>
      <c r="W36" s="286"/>
      <c r="X36">
        <v>23</v>
      </c>
    </row>
    <row r="37" spans="1:24" x14ac:dyDescent="0.25">
      <c r="A37" s="213"/>
      <c r="B37" s="148"/>
      <c r="C37" s="146"/>
      <c r="D37" s="145"/>
      <c r="E37" s="146"/>
      <c r="F37" s="145"/>
      <c r="G37" s="146"/>
      <c r="H37" s="147"/>
      <c r="I37" s="147"/>
      <c r="J37" s="147"/>
      <c r="K37" s="146"/>
      <c r="U37" s="248" t="s">
        <v>6</v>
      </c>
      <c r="W37" s="286" t="s">
        <v>580</v>
      </c>
      <c r="X37">
        <v>23</v>
      </c>
    </row>
    <row r="38" spans="1:24" s="3" customFormat="1" ht="15.75" x14ac:dyDescent="0.25">
      <c r="A38" s="208" t="s">
        <v>14</v>
      </c>
      <c r="B38" s="479"/>
      <c r="C38" s="209"/>
      <c r="D38" s="209"/>
      <c r="E38" s="209"/>
      <c r="F38" s="209"/>
      <c r="G38" s="216"/>
      <c r="H38" s="217"/>
      <c r="I38" s="228"/>
      <c r="J38" s="153"/>
      <c r="K38" s="212" t="s">
        <v>4</v>
      </c>
      <c r="U38" s="248" t="s">
        <v>7</v>
      </c>
      <c r="V38"/>
      <c r="W38" s="286" t="s">
        <v>581</v>
      </c>
      <c r="X38"/>
    </row>
    <row r="39" spans="1:24" s="3" customFormat="1" x14ac:dyDescent="0.25">
      <c r="A39" s="213" t="s">
        <v>36</v>
      </c>
      <c r="B39" s="155"/>
      <c r="C39" s="218"/>
      <c r="D39" s="218"/>
      <c r="E39" s="218"/>
      <c r="F39" s="218"/>
      <c r="G39" s="146"/>
      <c r="H39" s="218"/>
      <c r="I39" s="155">
        <v>500</v>
      </c>
      <c r="J39" s="155">
        <v>500</v>
      </c>
      <c r="K39" s="155">
        <f>B39+C39+D39+E39+F39+G39+H39+I39+J39</f>
        <v>1000</v>
      </c>
      <c r="U39" s="248" t="s">
        <v>8</v>
      </c>
      <c r="V39"/>
      <c r="W39" s="286" t="s">
        <v>582</v>
      </c>
      <c r="X39"/>
    </row>
    <row r="40" spans="1:24" x14ac:dyDescent="0.25">
      <c r="A40" s="214" t="s">
        <v>31</v>
      </c>
      <c r="B40" s="153"/>
      <c r="C40" s="152"/>
      <c r="D40" s="152"/>
      <c r="E40" s="152"/>
      <c r="F40" s="152"/>
      <c r="G40" s="151"/>
      <c r="H40" s="152"/>
      <c r="I40" s="149">
        <v>300</v>
      </c>
      <c r="J40" s="140"/>
      <c r="K40" s="153">
        <f>B40+C40+D40+E40+F40+G40+H40+I40+J40</f>
        <v>300</v>
      </c>
      <c r="U40" s="248" t="s">
        <v>41</v>
      </c>
      <c r="W40" s="286" t="s">
        <v>583</v>
      </c>
      <c r="X40">
        <v>4</v>
      </c>
    </row>
    <row r="41" spans="1:24" x14ac:dyDescent="0.25">
      <c r="A41" s="215" t="s">
        <v>33</v>
      </c>
      <c r="B41" s="155"/>
      <c r="C41" s="218"/>
      <c r="D41" s="218"/>
      <c r="E41" s="218"/>
      <c r="F41" s="218"/>
      <c r="G41" s="146"/>
      <c r="H41" s="218"/>
      <c r="I41" s="175">
        <v>100</v>
      </c>
      <c r="J41" s="147"/>
      <c r="K41" s="155">
        <f>B41+C41+D41+E41+F41+G41+H41+I41</f>
        <v>100</v>
      </c>
      <c r="U41" s="248" t="s">
        <v>205</v>
      </c>
      <c r="W41" s="286" t="s">
        <v>584</v>
      </c>
      <c r="X41">
        <v>4</v>
      </c>
    </row>
    <row r="42" spans="1:24" x14ac:dyDescent="0.25">
      <c r="A42" s="214" t="s">
        <v>32</v>
      </c>
      <c r="B42" s="153"/>
      <c r="C42" s="152"/>
      <c r="D42" s="152"/>
      <c r="E42" s="152"/>
      <c r="F42" s="152"/>
      <c r="G42" s="151"/>
      <c r="H42" s="152"/>
      <c r="I42" s="152"/>
      <c r="J42" s="140"/>
      <c r="K42" s="153">
        <f>B42+C42+D42+E42+F42+G42+H42+I42</f>
        <v>0</v>
      </c>
      <c r="U42" s="248" t="s">
        <v>206</v>
      </c>
      <c r="W42" s="286" t="s">
        <v>585</v>
      </c>
      <c r="X42">
        <v>4</v>
      </c>
    </row>
    <row r="43" spans="1:24" s="3" customFormat="1" ht="15.75" x14ac:dyDescent="0.25">
      <c r="A43" s="166"/>
      <c r="B43" s="145"/>
      <c r="C43" s="146"/>
      <c r="D43" s="145"/>
      <c r="E43" s="146"/>
      <c r="F43" s="145"/>
      <c r="G43" s="146"/>
      <c r="H43" s="218"/>
      <c r="I43" s="218"/>
      <c r="J43" s="218" t="s">
        <v>4</v>
      </c>
      <c r="K43" s="155">
        <f>SUM(K39:K42)</f>
        <v>1400</v>
      </c>
      <c r="U43" s="248" t="s">
        <v>207</v>
      </c>
      <c r="V43"/>
      <c r="W43" s="286" t="s">
        <v>586</v>
      </c>
      <c r="X43">
        <v>4</v>
      </c>
    </row>
    <row r="44" spans="1:24" s="3" customFormat="1" ht="15.75" x14ac:dyDescent="0.25">
      <c r="A44" s="208" t="s">
        <v>15</v>
      </c>
      <c r="B44" s="209"/>
      <c r="C44" s="209"/>
      <c r="D44" s="209"/>
      <c r="E44" s="209"/>
      <c r="F44" s="209"/>
      <c r="G44" s="216"/>
      <c r="H44" s="217"/>
      <c r="I44" s="211"/>
      <c r="J44" s="152"/>
      <c r="K44" s="212" t="s">
        <v>4</v>
      </c>
      <c r="U44" s="248" t="s">
        <v>599</v>
      </c>
      <c r="V44"/>
      <c r="W44" s="286" t="s">
        <v>600</v>
      </c>
      <c r="X44">
        <v>6</v>
      </c>
    </row>
    <row r="45" spans="1:24" s="3" customFormat="1" x14ac:dyDescent="0.25">
      <c r="A45" s="213" t="s">
        <v>36</v>
      </c>
      <c r="B45" s="155"/>
      <c r="C45" s="218"/>
      <c r="D45" s="218"/>
      <c r="E45" s="218"/>
      <c r="F45" s="218"/>
      <c r="G45" s="146"/>
      <c r="H45" s="218"/>
      <c r="I45" s="155">
        <v>500</v>
      </c>
      <c r="J45" s="155">
        <v>500</v>
      </c>
      <c r="K45" s="155">
        <f>B45+C45+D45+E45+F45+G45+H45+I45+J45</f>
        <v>1000</v>
      </c>
      <c r="U45" s="248" t="s">
        <v>209</v>
      </c>
      <c r="V45"/>
      <c r="W45" s="286" t="s">
        <v>587</v>
      </c>
      <c r="X45">
        <v>6</v>
      </c>
    </row>
    <row r="46" spans="1:24" x14ac:dyDescent="0.25">
      <c r="A46" s="214" t="s">
        <v>31</v>
      </c>
      <c r="B46" s="153"/>
      <c r="C46" s="152"/>
      <c r="D46" s="152"/>
      <c r="E46" s="152"/>
      <c r="F46" s="152"/>
      <c r="G46" s="151"/>
      <c r="H46" s="152"/>
      <c r="I46" s="149">
        <v>300</v>
      </c>
      <c r="J46" s="140"/>
      <c r="K46" s="153">
        <f>B46+C46+D46+E46+F46+G46+H46+I46</f>
        <v>300</v>
      </c>
      <c r="U46" s="248" t="s">
        <v>210</v>
      </c>
      <c r="W46" s="286" t="s">
        <v>570</v>
      </c>
      <c r="X46">
        <v>6</v>
      </c>
    </row>
    <row r="47" spans="1:24" x14ac:dyDescent="0.25">
      <c r="A47" s="215" t="s">
        <v>33</v>
      </c>
      <c r="B47" s="155"/>
      <c r="C47" s="218"/>
      <c r="D47" s="218"/>
      <c r="E47" s="218"/>
      <c r="F47" s="218"/>
      <c r="G47" s="146"/>
      <c r="H47" s="218"/>
      <c r="I47" s="175">
        <v>100</v>
      </c>
      <c r="J47" s="147"/>
      <c r="K47" s="155">
        <f>B47+C47+D47+E47+F47+G47+H47+I47</f>
        <v>100</v>
      </c>
      <c r="U47" s="248" t="s">
        <v>230</v>
      </c>
      <c r="W47" s="286"/>
    </row>
    <row r="48" spans="1:24" x14ac:dyDescent="0.25">
      <c r="A48" s="214" t="s">
        <v>32</v>
      </c>
      <c r="B48" s="153"/>
      <c r="C48" s="152"/>
      <c r="D48" s="152"/>
      <c r="E48" s="152"/>
      <c r="F48" s="152"/>
      <c r="G48" s="151"/>
      <c r="H48" s="152"/>
      <c r="I48" s="152"/>
      <c r="J48" s="140"/>
      <c r="K48" s="153">
        <f>B48+C48+D48+E48+F48+G48+H48+I48</f>
        <v>0</v>
      </c>
      <c r="U48" s="248" t="s">
        <v>536</v>
      </c>
      <c r="W48" s="286" t="s">
        <v>571</v>
      </c>
      <c r="X48">
        <v>23</v>
      </c>
    </row>
    <row r="49" spans="1:24" s="3" customFormat="1" ht="15.75" x14ac:dyDescent="0.25">
      <c r="A49" s="166"/>
      <c r="B49" s="145"/>
      <c r="C49" s="146"/>
      <c r="D49" s="145"/>
      <c r="E49" s="146"/>
      <c r="F49" s="145"/>
      <c r="G49" s="146"/>
      <c r="H49" s="218"/>
      <c r="I49" s="218"/>
      <c r="J49" s="218" t="s">
        <v>4</v>
      </c>
      <c r="K49" s="155">
        <f>SUM(K45:K48)</f>
        <v>1400</v>
      </c>
      <c r="U49" s="248" t="s">
        <v>537</v>
      </c>
      <c r="V49"/>
      <c r="W49" s="286" t="s">
        <v>572</v>
      </c>
      <c r="X49">
        <v>4</v>
      </c>
    </row>
    <row r="50" spans="1:24" s="3" customFormat="1" ht="15.75" x14ac:dyDescent="0.25">
      <c r="A50" s="220" t="s">
        <v>41</v>
      </c>
      <c r="B50" s="209"/>
      <c r="C50" s="209"/>
      <c r="D50" s="209"/>
      <c r="E50" s="209"/>
      <c r="F50" s="209"/>
      <c r="G50" s="216"/>
      <c r="H50" s="217"/>
      <c r="I50" s="211"/>
      <c r="J50" s="152"/>
      <c r="K50" s="212" t="s">
        <v>4</v>
      </c>
      <c r="U50" s="248" t="s">
        <v>538</v>
      </c>
      <c r="V50"/>
      <c r="W50" s="286" t="s">
        <v>573</v>
      </c>
      <c r="X50">
        <v>23</v>
      </c>
    </row>
    <row r="51" spans="1:24" s="3" customFormat="1" x14ac:dyDescent="0.25">
      <c r="A51" s="213" t="s">
        <v>36</v>
      </c>
      <c r="B51" s="155"/>
      <c r="C51" s="218"/>
      <c r="D51" s="218"/>
      <c r="E51" s="218"/>
      <c r="F51" s="218"/>
      <c r="G51" s="146"/>
      <c r="H51" s="218"/>
      <c r="I51" s="218"/>
      <c r="J51" s="218"/>
      <c r="K51" s="155">
        <f>B51+C51+D51+E51+F51+G51+H51+I51</f>
        <v>0</v>
      </c>
      <c r="U51" s="248" t="s">
        <v>539</v>
      </c>
      <c r="V51"/>
      <c r="W51" s="286" t="s">
        <v>574</v>
      </c>
      <c r="X51">
        <v>23</v>
      </c>
    </row>
    <row r="52" spans="1:24" x14ac:dyDescent="0.25">
      <c r="A52" s="214" t="s">
        <v>31</v>
      </c>
      <c r="B52" s="153"/>
      <c r="C52" s="152"/>
      <c r="D52" s="152"/>
      <c r="E52" s="152"/>
      <c r="F52" s="152"/>
      <c r="G52" s="151"/>
      <c r="H52" s="152"/>
      <c r="I52" s="152"/>
      <c r="J52" s="140"/>
      <c r="K52" s="153">
        <f>B52+C52+D52+E52+F52+G52+H52+I52</f>
        <v>0</v>
      </c>
      <c r="U52" s="248" t="s">
        <v>540</v>
      </c>
      <c r="W52" s="286" t="s">
        <v>575</v>
      </c>
      <c r="X52">
        <v>6</v>
      </c>
    </row>
    <row r="53" spans="1:24" x14ac:dyDescent="0.25">
      <c r="A53" s="215" t="s">
        <v>33</v>
      </c>
      <c r="B53" s="155"/>
      <c r="C53" s="218"/>
      <c r="D53" s="218"/>
      <c r="E53" s="218"/>
      <c r="F53" s="218"/>
      <c r="G53" s="146"/>
      <c r="H53" s="218"/>
      <c r="I53" s="218"/>
      <c r="J53" s="147"/>
      <c r="K53" s="155">
        <f>B53+C53+D53+E53+F53+G53+H53+I53</f>
        <v>0</v>
      </c>
      <c r="U53" s="248" t="s">
        <v>541</v>
      </c>
      <c r="W53" s="286" t="s">
        <v>576</v>
      </c>
      <c r="X53">
        <v>4</v>
      </c>
    </row>
    <row r="54" spans="1:24" x14ac:dyDescent="0.25">
      <c r="A54" s="214" t="s">
        <v>32</v>
      </c>
      <c r="B54" s="153"/>
      <c r="C54" s="152"/>
      <c r="D54" s="152"/>
      <c r="E54" s="152"/>
      <c r="F54" s="152"/>
      <c r="G54" s="151"/>
      <c r="H54" s="152"/>
      <c r="I54" s="152"/>
      <c r="J54" s="140"/>
      <c r="K54" s="153">
        <f>B54+C54+D54+E54+F54+G54+H54+I54</f>
        <v>0</v>
      </c>
    </row>
    <row r="55" spans="1:24" s="3" customFormat="1" x14ac:dyDescent="0.25">
      <c r="A55" s="215"/>
      <c r="B55" s="144"/>
      <c r="C55" s="146"/>
      <c r="D55" s="145"/>
      <c r="E55" s="146"/>
      <c r="F55" s="145"/>
      <c r="G55" s="146"/>
      <c r="H55" s="218"/>
      <c r="I55" s="218"/>
      <c r="J55" s="218"/>
      <c r="K55" s="155"/>
    </row>
    <row r="56" spans="1:24" s="3" customFormat="1" ht="15.75" x14ac:dyDescent="0.25">
      <c r="A56" s="208"/>
      <c r="B56" s="150"/>
      <c r="C56" s="151"/>
      <c r="D56" s="150"/>
      <c r="E56" s="151"/>
      <c r="F56" s="150"/>
      <c r="G56" s="151"/>
      <c r="H56" s="152"/>
      <c r="I56" s="152"/>
      <c r="J56" s="152"/>
      <c r="K56" s="219">
        <f>K49+K43</f>
        <v>2800</v>
      </c>
    </row>
    <row r="57" spans="1:24" s="3" customFormat="1" ht="15.75" x14ac:dyDescent="0.25">
      <c r="A57" s="126" t="s">
        <v>199</v>
      </c>
      <c r="B57" s="231">
        <f>(K56)*0.25</f>
        <v>700</v>
      </c>
      <c r="C57" s="232">
        <f>B35+B34+B33</f>
        <v>332</v>
      </c>
      <c r="D57" s="129" t="s">
        <v>201</v>
      </c>
      <c r="E57" s="233">
        <f>(K56)*0.25</f>
        <v>700</v>
      </c>
      <c r="F57" s="234"/>
      <c r="G57" s="107"/>
      <c r="H57" s="130"/>
      <c r="I57" s="130"/>
      <c r="J57" s="130"/>
      <c r="K57" s="131"/>
    </row>
    <row r="58" spans="1:24" s="3" customFormat="1" ht="15.75" x14ac:dyDescent="0.25">
      <c r="A58" s="126" t="s">
        <v>200</v>
      </c>
      <c r="B58" s="114">
        <f>(K56)*0.25</f>
        <v>700</v>
      </c>
      <c r="C58" s="114"/>
      <c r="D58" s="129" t="s">
        <v>202</v>
      </c>
      <c r="E58" s="235">
        <f>(K56)*0.25</f>
        <v>700</v>
      </c>
      <c r="F58" s="236"/>
      <c r="G58" s="107"/>
      <c r="H58" s="130"/>
      <c r="I58" s="130"/>
      <c r="J58" s="130"/>
      <c r="K58" s="131"/>
    </row>
    <row r="59" spans="1:2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>
        <v>2</v>
      </c>
    </row>
    <row r="60" spans="1:24" ht="38.25" customHeight="1" x14ac:dyDescent="0.35">
      <c r="A60" s="207" t="s">
        <v>186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R60" t="s">
        <v>0</v>
      </c>
    </row>
    <row r="61" spans="1:24" ht="18" customHeight="1" x14ac:dyDescent="0.35">
      <c r="A61" s="207"/>
      <c r="B61" s="43"/>
      <c r="C61" s="43"/>
      <c r="D61" s="43"/>
      <c r="E61" s="43"/>
      <c r="F61" s="43"/>
      <c r="G61" s="43"/>
      <c r="H61" s="127"/>
      <c r="I61" s="43"/>
      <c r="J61" s="43"/>
      <c r="K61" s="43"/>
    </row>
    <row r="62" spans="1:24" ht="24.75" x14ac:dyDescent="0.25">
      <c r="A62" s="208" t="s">
        <v>188</v>
      </c>
      <c r="B62" s="226" t="s">
        <v>195</v>
      </c>
      <c r="C62" s="151"/>
      <c r="D62" s="210"/>
      <c r="E62" s="151"/>
      <c r="F62" s="210"/>
      <c r="G62" s="151"/>
      <c r="H62" s="211"/>
      <c r="I62" s="211" t="s">
        <v>40</v>
      </c>
      <c r="J62" s="211" t="s">
        <v>40</v>
      </c>
      <c r="K62" s="212" t="s">
        <v>4</v>
      </c>
    </row>
    <row r="63" spans="1:24" x14ac:dyDescent="0.25">
      <c r="A63" s="213" t="s">
        <v>36</v>
      </c>
      <c r="B63" s="146">
        <v>69</v>
      </c>
      <c r="C63" s="146"/>
      <c r="D63" s="146"/>
      <c r="E63" s="146"/>
      <c r="F63" s="146"/>
      <c r="G63" s="146"/>
      <c r="H63" s="147"/>
      <c r="I63" s="146"/>
      <c r="J63" s="147"/>
      <c r="K63" s="146">
        <f>B63+D63+F63+H63+P65+I63</f>
        <v>69</v>
      </c>
    </row>
    <row r="64" spans="1:24" x14ac:dyDescent="0.25">
      <c r="A64" s="214" t="s">
        <v>196</v>
      </c>
      <c r="B64" s="227">
        <v>300</v>
      </c>
      <c r="C64" s="151"/>
      <c r="D64" s="151"/>
      <c r="E64" s="151"/>
      <c r="F64" s="151"/>
      <c r="G64" s="151"/>
      <c r="H64" s="140"/>
      <c r="I64" s="140"/>
      <c r="J64" s="140"/>
      <c r="K64" s="151">
        <f>SUM(B64:J64)</f>
        <v>300</v>
      </c>
    </row>
    <row r="65" spans="1:23" x14ac:dyDescent="0.25">
      <c r="A65" s="215"/>
      <c r="B65" s="146"/>
      <c r="C65" s="146"/>
      <c r="D65" s="146"/>
      <c r="E65" s="146"/>
      <c r="F65" s="146"/>
      <c r="G65" s="146"/>
      <c r="H65" s="147"/>
      <c r="I65" s="147"/>
      <c r="J65" s="147"/>
      <c r="K65" s="146"/>
    </row>
    <row r="66" spans="1:23" x14ac:dyDescent="0.25">
      <c r="A66" s="214"/>
      <c r="B66" s="151"/>
      <c r="C66" s="151"/>
      <c r="D66" s="151"/>
      <c r="E66" s="151"/>
      <c r="F66" s="151"/>
      <c r="G66" s="151"/>
      <c r="H66" s="140"/>
      <c r="I66" s="140"/>
      <c r="J66" s="140"/>
      <c r="K66" s="151"/>
      <c r="T66" s="248" t="s">
        <v>13</v>
      </c>
      <c r="V66" s="286" t="s">
        <v>577</v>
      </c>
      <c r="W66">
        <v>4411</v>
      </c>
    </row>
    <row r="67" spans="1:23" ht="15.75" x14ac:dyDescent="0.25">
      <c r="A67" s="166"/>
      <c r="B67" s="146"/>
      <c r="C67" s="146"/>
      <c r="D67" s="145"/>
      <c r="E67" s="146"/>
      <c r="F67" s="145"/>
      <c r="G67" s="146"/>
      <c r="H67" s="147"/>
      <c r="I67" s="147"/>
      <c r="J67" s="147"/>
      <c r="K67" s="146"/>
      <c r="T67" s="248" t="s">
        <v>14</v>
      </c>
      <c r="V67" s="286" t="s">
        <v>578</v>
      </c>
      <c r="W67">
        <v>3331</v>
      </c>
    </row>
    <row r="68" spans="1:23" s="3" customFormat="1" ht="15.75" x14ac:dyDescent="0.25">
      <c r="A68" s="208" t="s">
        <v>189</v>
      </c>
      <c r="B68" s="209"/>
      <c r="C68" s="209"/>
      <c r="D68" s="209"/>
      <c r="E68" s="209"/>
      <c r="F68" s="209"/>
      <c r="G68" s="216"/>
      <c r="H68" s="217"/>
      <c r="I68" s="211"/>
      <c r="J68" s="152"/>
      <c r="K68" s="212" t="s">
        <v>4</v>
      </c>
      <c r="T68" s="248" t="s">
        <v>15</v>
      </c>
      <c r="U68"/>
      <c r="V68" s="286" t="s">
        <v>579</v>
      </c>
      <c r="W68">
        <v>3313</v>
      </c>
    </row>
    <row r="69" spans="1:23" s="3" customFormat="1" x14ac:dyDescent="0.25">
      <c r="A69" s="213" t="s">
        <v>36</v>
      </c>
      <c r="B69" s="146">
        <v>69</v>
      </c>
      <c r="C69" s="218"/>
      <c r="D69" s="218"/>
      <c r="E69" s="218"/>
      <c r="F69" s="218"/>
      <c r="G69" s="146"/>
      <c r="H69" s="218"/>
      <c r="I69" s="218"/>
      <c r="J69" s="218"/>
      <c r="K69" s="155">
        <f>B69+C69+D69+E69+F69+G69+H69+I69</f>
        <v>69</v>
      </c>
      <c r="T69" s="248" t="s">
        <v>5</v>
      </c>
      <c r="U69"/>
      <c r="V69" s="286"/>
      <c r="W69">
        <v>23</v>
      </c>
    </row>
    <row r="70" spans="1:23" x14ac:dyDescent="0.25">
      <c r="A70" s="214" t="s">
        <v>196</v>
      </c>
      <c r="B70" s="227">
        <v>300</v>
      </c>
      <c r="C70" s="152"/>
      <c r="D70" s="152"/>
      <c r="E70" s="152"/>
      <c r="F70" s="152"/>
      <c r="G70" s="151"/>
      <c r="H70" s="152"/>
      <c r="I70" s="152"/>
      <c r="J70" s="140"/>
      <c r="K70" s="153">
        <f>B70+C70+D70+E70+F70+G70+H70+I70</f>
        <v>300</v>
      </c>
      <c r="T70" s="248" t="s">
        <v>6</v>
      </c>
      <c r="V70" s="286" t="s">
        <v>580</v>
      </c>
      <c r="W70">
        <v>23</v>
      </c>
    </row>
    <row r="71" spans="1:23" x14ac:dyDescent="0.25">
      <c r="A71" s="215"/>
      <c r="B71" s="146"/>
      <c r="C71" s="146"/>
      <c r="D71" s="146"/>
      <c r="E71" s="146"/>
      <c r="F71" s="146"/>
      <c r="G71" s="146"/>
      <c r="H71" s="147"/>
      <c r="I71" s="147"/>
      <c r="J71" s="147"/>
      <c r="K71" s="146"/>
      <c r="T71" s="248" t="s">
        <v>7</v>
      </c>
      <c r="V71" s="286" t="s">
        <v>581</v>
      </c>
    </row>
    <row r="72" spans="1:23" x14ac:dyDescent="0.25">
      <c r="A72" s="214"/>
      <c r="B72" s="153"/>
      <c r="C72" s="152"/>
      <c r="D72" s="152"/>
      <c r="E72" s="152"/>
      <c r="F72" s="152"/>
      <c r="G72" s="151"/>
      <c r="H72" s="152"/>
      <c r="I72" s="152"/>
      <c r="J72" s="140"/>
      <c r="K72" s="153"/>
      <c r="T72" s="248" t="s">
        <v>8</v>
      </c>
      <c r="V72" s="286" t="s">
        <v>582</v>
      </c>
    </row>
    <row r="73" spans="1:23" s="3" customFormat="1" ht="15.75" x14ac:dyDescent="0.25">
      <c r="A73" s="166"/>
      <c r="B73" s="146"/>
      <c r="C73" s="146"/>
      <c r="D73" s="145"/>
      <c r="E73" s="146"/>
      <c r="F73" s="145"/>
      <c r="G73" s="146"/>
      <c r="H73" s="218"/>
      <c r="I73" s="218"/>
      <c r="J73" s="218"/>
      <c r="K73" s="155"/>
      <c r="T73" s="248" t="s">
        <v>41</v>
      </c>
      <c r="U73"/>
      <c r="V73" s="286" t="s">
        <v>583</v>
      </c>
      <c r="W73">
        <v>4</v>
      </c>
    </row>
    <row r="74" spans="1:23" s="3" customFormat="1" ht="15.75" x14ac:dyDescent="0.25">
      <c r="A74" s="208" t="s">
        <v>190</v>
      </c>
      <c r="B74" s="209"/>
      <c r="C74" s="209"/>
      <c r="D74" s="209"/>
      <c r="E74" s="209"/>
      <c r="F74" s="209"/>
      <c r="G74" s="216"/>
      <c r="H74" s="217"/>
      <c r="I74" s="211"/>
      <c r="J74" s="152"/>
      <c r="K74" s="212" t="s">
        <v>4</v>
      </c>
      <c r="T74" s="248" t="s">
        <v>205</v>
      </c>
      <c r="U74"/>
      <c r="V74" s="286" t="s">
        <v>584</v>
      </c>
      <c r="W74">
        <v>4</v>
      </c>
    </row>
    <row r="75" spans="1:23" s="3" customFormat="1" x14ac:dyDescent="0.25">
      <c r="A75" s="213" t="s">
        <v>36</v>
      </c>
      <c r="B75" s="146">
        <v>69</v>
      </c>
      <c r="C75" s="218"/>
      <c r="D75" s="218"/>
      <c r="E75" s="218"/>
      <c r="F75" s="218"/>
      <c r="G75" s="146"/>
      <c r="H75" s="218"/>
      <c r="I75" s="218"/>
      <c r="J75" s="218"/>
      <c r="K75" s="155">
        <f>B75+C75+D75+E75+F75+G75+H75+I75</f>
        <v>69</v>
      </c>
      <c r="T75" s="248" t="s">
        <v>206</v>
      </c>
      <c r="U75"/>
      <c r="V75" s="286" t="s">
        <v>585</v>
      </c>
      <c r="W75">
        <v>4</v>
      </c>
    </row>
    <row r="76" spans="1:23" x14ac:dyDescent="0.25">
      <c r="A76" s="214" t="s">
        <v>196</v>
      </c>
      <c r="B76" s="227">
        <v>300</v>
      </c>
      <c r="C76" s="152"/>
      <c r="D76" s="152"/>
      <c r="E76" s="152"/>
      <c r="F76" s="152"/>
      <c r="G76" s="151"/>
      <c r="H76" s="152"/>
      <c r="I76" s="152"/>
      <c r="J76" s="140"/>
      <c r="K76" s="153">
        <f>B76+C76+D76+E76+F76+G76+H76+I76</f>
        <v>300</v>
      </c>
      <c r="T76" s="248" t="s">
        <v>207</v>
      </c>
      <c r="V76" s="286" t="s">
        <v>586</v>
      </c>
      <c r="W76">
        <v>4</v>
      </c>
    </row>
    <row r="77" spans="1:23" x14ac:dyDescent="0.25">
      <c r="A77" s="215"/>
      <c r="B77" s="146"/>
      <c r="C77" s="146"/>
      <c r="D77" s="146"/>
      <c r="E77" s="146"/>
      <c r="F77" s="146"/>
      <c r="G77" s="146"/>
      <c r="H77" s="147"/>
      <c r="I77" s="147"/>
      <c r="J77" s="147"/>
      <c r="K77" s="146"/>
      <c r="T77" s="248" t="s">
        <v>599</v>
      </c>
      <c r="V77" s="286" t="s">
        <v>600</v>
      </c>
      <c r="W77">
        <v>6</v>
      </c>
    </row>
    <row r="78" spans="1:23" x14ac:dyDescent="0.25">
      <c r="A78" s="214"/>
      <c r="B78" s="153"/>
      <c r="C78" s="152"/>
      <c r="D78" s="152"/>
      <c r="E78" s="152"/>
      <c r="F78" s="152"/>
      <c r="G78" s="151"/>
      <c r="H78" s="152"/>
      <c r="I78" s="152"/>
      <c r="J78" s="140"/>
      <c r="K78" s="153"/>
      <c r="T78" s="248" t="s">
        <v>209</v>
      </c>
      <c r="V78" s="286" t="s">
        <v>587</v>
      </c>
      <c r="W78">
        <v>6</v>
      </c>
    </row>
    <row r="79" spans="1:23" s="3" customFormat="1" ht="15.75" x14ac:dyDescent="0.25">
      <c r="A79" s="166"/>
      <c r="B79" s="145"/>
      <c r="C79" s="146"/>
      <c r="D79" s="145"/>
      <c r="E79" s="146"/>
      <c r="F79" s="145"/>
      <c r="G79" s="146"/>
      <c r="H79" s="218"/>
      <c r="I79" s="218"/>
      <c r="J79" s="218"/>
      <c r="K79" s="155"/>
      <c r="T79" s="248" t="s">
        <v>210</v>
      </c>
      <c r="U79"/>
      <c r="V79" s="286" t="s">
        <v>570</v>
      </c>
      <c r="W79">
        <v>6</v>
      </c>
    </row>
    <row r="80" spans="1:23" s="3" customFormat="1" ht="15.75" x14ac:dyDescent="0.25">
      <c r="A80" s="222" t="s">
        <v>191</v>
      </c>
      <c r="B80" s="209"/>
      <c r="C80" s="209"/>
      <c r="D80" s="209"/>
      <c r="E80" s="209"/>
      <c r="F80" s="209"/>
      <c r="G80" s="216"/>
      <c r="H80" s="217"/>
      <c r="I80" s="211"/>
      <c r="J80" s="152"/>
      <c r="K80" s="212" t="s">
        <v>4</v>
      </c>
      <c r="T80" s="248" t="s">
        <v>230</v>
      </c>
      <c r="U80"/>
      <c r="V80" s="286"/>
      <c r="W80"/>
    </row>
    <row r="81" spans="1:23" s="3" customFormat="1" x14ac:dyDescent="0.25">
      <c r="A81" s="213" t="s">
        <v>36</v>
      </c>
      <c r="B81" s="146">
        <v>200</v>
      </c>
      <c r="C81" s="218"/>
      <c r="D81" s="218"/>
      <c r="E81" s="218"/>
      <c r="F81" s="218"/>
      <c r="G81" s="146"/>
      <c r="H81" s="218"/>
      <c r="I81" s="218"/>
      <c r="J81" s="218"/>
      <c r="K81" s="155">
        <f>B81+C81+D81+E81+F81+G81+H81+I81</f>
        <v>200</v>
      </c>
      <c r="T81" s="248" t="s">
        <v>536</v>
      </c>
      <c r="U81"/>
      <c r="V81" s="286" t="s">
        <v>571</v>
      </c>
      <c r="W81">
        <v>23</v>
      </c>
    </row>
    <row r="82" spans="1:23" x14ac:dyDescent="0.25">
      <c r="A82" s="214" t="s">
        <v>196</v>
      </c>
      <c r="B82" s="227">
        <v>300</v>
      </c>
      <c r="C82" s="149"/>
      <c r="D82" s="152"/>
      <c r="E82" s="152"/>
      <c r="F82" s="152"/>
      <c r="G82" s="151"/>
      <c r="H82" s="152"/>
      <c r="I82" s="152"/>
      <c r="J82" s="140"/>
      <c r="K82" s="153">
        <f>B82+C82+D82+E82+F82+G82+H82+I82</f>
        <v>300</v>
      </c>
      <c r="T82" s="248" t="s">
        <v>537</v>
      </c>
      <c r="V82" s="286" t="s">
        <v>572</v>
      </c>
      <c r="W82">
        <v>4</v>
      </c>
    </row>
    <row r="83" spans="1:23" x14ac:dyDescent="0.25">
      <c r="A83" s="215"/>
      <c r="B83" s="146"/>
      <c r="C83" s="146"/>
      <c r="D83" s="146"/>
      <c r="E83" s="146"/>
      <c r="F83" s="146"/>
      <c r="G83" s="146"/>
      <c r="H83" s="147"/>
      <c r="I83" s="147"/>
      <c r="J83" s="147"/>
      <c r="K83" s="146"/>
      <c r="T83" s="248" t="s">
        <v>538</v>
      </c>
      <c r="V83" s="286" t="s">
        <v>573</v>
      </c>
      <c r="W83">
        <v>23</v>
      </c>
    </row>
    <row r="84" spans="1:23" x14ac:dyDescent="0.25">
      <c r="A84" s="214"/>
      <c r="B84" s="153"/>
      <c r="C84" s="152"/>
      <c r="D84" s="152"/>
      <c r="E84" s="152"/>
      <c r="F84" s="152"/>
      <c r="G84" s="151"/>
      <c r="H84" s="152"/>
      <c r="I84" s="152"/>
      <c r="J84" s="140"/>
      <c r="K84" s="153"/>
      <c r="T84" s="248" t="s">
        <v>539</v>
      </c>
      <c r="V84" s="286" t="s">
        <v>574</v>
      </c>
      <c r="W84">
        <v>23</v>
      </c>
    </row>
    <row r="85" spans="1:23" s="3" customFormat="1" ht="15.75" x14ac:dyDescent="0.25">
      <c r="A85" s="166"/>
      <c r="B85" s="145"/>
      <c r="C85" s="146"/>
      <c r="D85" s="145"/>
      <c r="E85" s="146"/>
      <c r="F85" s="145"/>
      <c r="G85" s="146"/>
      <c r="H85" s="218"/>
      <c r="I85" s="218"/>
      <c r="J85" s="218"/>
      <c r="K85" s="155"/>
      <c r="T85" s="248" t="s">
        <v>540</v>
      </c>
      <c r="U85"/>
      <c r="V85" s="286" t="s">
        <v>575</v>
      </c>
      <c r="W85">
        <v>6</v>
      </c>
    </row>
    <row r="86" spans="1:23" s="3" customFormat="1" ht="15.75" x14ac:dyDescent="0.25">
      <c r="A86" s="208"/>
      <c r="B86" s="150"/>
      <c r="C86" s="151"/>
      <c r="D86" s="150"/>
      <c r="E86" s="151"/>
      <c r="F86" s="150"/>
      <c r="G86" s="151"/>
      <c r="H86" s="152"/>
      <c r="I86" s="152"/>
      <c r="J86" s="152"/>
      <c r="K86" s="219"/>
      <c r="T86" s="248" t="s">
        <v>541</v>
      </c>
      <c r="U86"/>
      <c r="V86" s="286" t="s">
        <v>576</v>
      </c>
      <c r="W86">
        <v>4</v>
      </c>
    </row>
    <row r="87" spans="1:23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</row>
    <row r="88" spans="1:23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</row>
    <row r="89" spans="1:23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>
        <v>3</v>
      </c>
    </row>
    <row r="90" spans="1:23" ht="38.25" customHeight="1" x14ac:dyDescent="0.35">
      <c r="A90" s="207" t="s">
        <v>186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R90" t="s">
        <v>0</v>
      </c>
    </row>
    <row r="91" spans="1:23" ht="18" customHeight="1" x14ac:dyDescent="0.35">
      <c r="A91" s="207"/>
      <c r="B91" s="43"/>
      <c r="C91" s="43"/>
      <c r="D91" s="43"/>
      <c r="E91" s="43"/>
      <c r="F91" s="43"/>
      <c r="G91" s="43"/>
      <c r="H91" s="127"/>
      <c r="I91" s="43"/>
      <c r="J91" s="43"/>
      <c r="K91" s="43"/>
    </row>
    <row r="92" spans="1:23" ht="24.75" x14ac:dyDescent="0.25">
      <c r="A92" s="222" t="s">
        <v>192</v>
      </c>
      <c r="B92" s="209"/>
      <c r="C92" s="151"/>
      <c r="D92" s="210"/>
      <c r="E92" s="151"/>
      <c r="F92" s="210"/>
      <c r="G92" s="151"/>
      <c r="H92" s="211"/>
      <c r="I92" s="211" t="s">
        <v>40</v>
      </c>
      <c r="J92" s="211" t="s">
        <v>40</v>
      </c>
      <c r="K92" s="212" t="s">
        <v>4</v>
      </c>
    </row>
    <row r="93" spans="1:23" x14ac:dyDescent="0.25">
      <c r="A93" s="213" t="s">
        <v>36</v>
      </c>
      <c r="B93" s="146">
        <v>200</v>
      </c>
      <c r="C93" s="146"/>
      <c r="D93" s="146"/>
      <c r="E93" s="146"/>
      <c r="F93" s="146"/>
      <c r="G93" s="146"/>
      <c r="H93" s="147"/>
      <c r="I93" s="146"/>
      <c r="J93" s="147"/>
      <c r="K93" s="146">
        <f>B93+D93+F93+H93+P95+I93</f>
        <v>200</v>
      </c>
    </row>
    <row r="94" spans="1:23" x14ac:dyDescent="0.25">
      <c r="A94" s="214" t="s">
        <v>196</v>
      </c>
      <c r="B94" s="227">
        <v>300</v>
      </c>
      <c r="C94" s="151"/>
      <c r="D94" s="151"/>
      <c r="E94" s="151"/>
      <c r="F94" s="151"/>
      <c r="G94" s="151"/>
      <c r="H94" s="140"/>
      <c r="I94" s="140"/>
      <c r="J94" s="140"/>
      <c r="K94" s="151">
        <f>B94+D94+F94+H94+P96+I94</f>
        <v>300</v>
      </c>
    </row>
    <row r="95" spans="1:23" x14ac:dyDescent="0.25">
      <c r="A95" s="213"/>
      <c r="B95" s="146"/>
      <c r="C95" s="146"/>
      <c r="D95" s="146"/>
      <c r="E95" s="146"/>
      <c r="F95" s="146"/>
      <c r="G95" s="146"/>
      <c r="H95" s="147"/>
      <c r="I95" s="147"/>
      <c r="J95" s="147"/>
      <c r="K95" s="146"/>
    </row>
    <row r="96" spans="1:23" x14ac:dyDescent="0.25">
      <c r="A96" s="214"/>
      <c r="B96" s="151"/>
      <c r="C96" s="151"/>
      <c r="D96" s="151"/>
      <c r="E96" s="151"/>
      <c r="F96" s="151"/>
      <c r="G96" s="151"/>
      <c r="H96" s="140"/>
      <c r="I96" s="140"/>
      <c r="J96" s="140"/>
      <c r="K96" s="151"/>
    </row>
    <row r="97" spans="1:11" x14ac:dyDescent="0.25">
      <c r="A97" s="215"/>
      <c r="B97" s="145"/>
      <c r="C97" s="146"/>
      <c r="D97" s="145"/>
      <c r="E97" s="146"/>
      <c r="F97" s="145"/>
      <c r="G97" s="146"/>
      <c r="H97" s="147"/>
      <c r="I97" s="147"/>
      <c r="J97" s="147"/>
      <c r="K97" s="146"/>
    </row>
    <row r="98" spans="1:11" s="3" customFormat="1" ht="15.75" x14ac:dyDescent="0.25">
      <c r="A98" s="208" t="s">
        <v>197</v>
      </c>
      <c r="B98" s="209"/>
      <c r="C98" s="209"/>
      <c r="D98" s="209"/>
      <c r="E98" s="209"/>
      <c r="F98" s="209"/>
      <c r="G98" s="216"/>
      <c r="H98" s="217"/>
      <c r="I98" s="211"/>
      <c r="J98" s="152"/>
      <c r="K98" s="212" t="s">
        <v>4</v>
      </c>
    </row>
    <row r="99" spans="1:11" s="3" customFormat="1" x14ac:dyDescent="0.25">
      <c r="A99" s="213" t="s">
        <v>36</v>
      </c>
      <c r="B99" s="155">
        <v>100</v>
      </c>
      <c r="C99" s="218"/>
      <c r="D99" s="218"/>
      <c r="E99" s="218"/>
      <c r="F99" s="218"/>
      <c r="G99" s="146"/>
      <c r="H99" s="218"/>
      <c r="I99" s="218"/>
      <c r="J99" s="218"/>
      <c r="K99" s="155">
        <f>B99+C99+D99+E99+F99+G99+H99+I99</f>
        <v>100</v>
      </c>
    </row>
    <row r="100" spans="1:11" x14ac:dyDescent="0.25">
      <c r="A100" s="214" t="s">
        <v>31</v>
      </c>
      <c r="B100" s="153">
        <v>500</v>
      </c>
      <c r="C100" s="152"/>
      <c r="D100" s="152"/>
      <c r="E100" s="152"/>
      <c r="F100" s="152"/>
      <c r="G100" s="151"/>
      <c r="H100" s="152"/>
      <c r="I100" s="152"/>
      <c r="J100" s="140"/>
      <c r="K100" s="153">
        <f>B100+C100+D100+E100+F100+G100+H100+I100</f>
        <v>500</v>
      </c>
    </row>
    <row r="101" spans="1:11" x14ac:dyDescent="0.25">
      <c r="A101" s="215" t="s">
        <v>33</v>
      </c>
      <c r="B101" s="155">
        <v>150</v>
      </c>
      <c r="C101" s="218"/>
      <c r="D101" s="218"/>
      <c r="E101" s="218"/>
      <c r="F101" s="218"/>
      <c r="G101" s="146"/>
      <c r="H101" s="218"/>
      <c r="I101" s="218"/>
      <c r="J101" s="147"/>
      <c r="K101" s="155">
        <f>B101+C101+D101+E101+F101+G101+H101+I101</f>
        <v>150</v>
      </c>
    </row>
    <row r="102" spans="1:11" x14ac:dyDescent="0.25">
      <c r="A102" s="214" t="s">
        <v>32</v>
      </c>
      <c r="B102" s="153">
        <v>100</v>
      </c>
      <c r="C102" s="152"/>
      <c r="D102" s="152"/>
      <c r="E102" s="152"/>
      <c r="F102" s="152"/>
      <c r="G102" s="151"/>
      <c r="H102" s="152"/>
      <c r="I102" s="152"/>
      <c r="J102" s="140"/>
      <c r="K102" s="153">
        <f>B102+C102+D102+E102+F102+G102+H102+I102</f>
        <v>100</v>
      </c>
    </row>
    <row r="103" spans="1:11" s="3" customFormat="1" x14ac:dyDescent="0.25">
      <c r="A103" s="213"/>
      <c r="B103" s="145"/>
      <c r="C103" s="146"/>
      <c r="D103" s="145"/>
      <c r="E103" s="146"/>
      <c r="F103" s="145"/>
      <c r="G103" s="146"/>
      <c r="H103" s="218"/>
      <c r="I103" s="218"/>
      <c r="J103" s="218"/>
      <c r="K103" s="155"/>
    </row>
    <row r="104" spans="1:11" s="3" customFormat="1" ht="15.75" x14ac:dyDescent="0.25">
      <c r="A104" s="208"/>
      <c r="B104" s="209"/>
      <c r="C104" s="209"/>
      <c r="D104" s="209"/>
      <c r="E104" s="209"/>
      <c r="F104" s="209"/>
      <c r="G104" s="216"/>
      <c r="H104" s="217"/>
      <c r="I104" s="211"/>
      <c r="J104" s="152"/>
      <c r="K104" s="212" t="s">
        <v>4</v>
      </c>
    </row>
    <row r="105" spans="1:11" s="3" customFormat="1" x14ac:dyDescent="0.25">
      <c r="A105" s="213" t="s">
        <v>36</v>
      </c>
      <c r="B105" s="155"/>
      <c r="C105" s="218"/>
      <c r="D105" s="218"/>
      <c r="E105" s="218"/>
      <c r="F105" s="218"/>
      <c r="G105" s="146"/>
      <c r="H105" s="218"/>
      <c r="I105" s="218"/>
      <c r="J105" s="218"/>
      <c r="K105" s="155">
        <f>B105+C105+D105+E105+F105+G105+H105+I105</f>
        <v>0</v>
      </c>
    </row>
    <row r="106" spans="1:11" x14ac:dyDescent="0.25">
      <c r="A106" s="214" t="s">
        <v>31</v>
      </c>
      <c r="B106" s="153"/>
      <c r="C106" s="152"/>
      <c r="D106" s="152"/>
      <c r="E106" s="152"/>
      <c r="F106" s="152"/>
      <c r="G106" s="151"/>
      <c r="H106" s="152"/>
      <c r="I106" s="152"/>
      <c r="J106" s="140"/>
      <c r="K106" s="153">
        <f>B106+C106+D106+E106+F106+G106+H106+I106</f>
        <v>0</v>
      </c>
    </row>
    <row r="107" spans="1:11" x14ac:dyDescent="0.25">
      <c r="A107" s="215" t="s">
        <v>33</v>
      </c>
      <c r="B107" s="155"/>
      <c r="C107" s="218"/>
      <c r="D107" s="218"/>
      <c r="E107" s="218"/>
      <c r="F107" s="218"/>
      <c r="G107" s="146"/>
      <c r="H107" s="218"/>
      <c r="I107" s="218"/>
      <c r="J107" s="147"/>
      <c r="K107" s="155">
        <f>B107+C107+D107+E107+F107+G107+H107+I107</f>
        <v>0</v>
      </c>
    </row>
    <row r="108" spans="1:11" x14ac:dyDescent="0.25">
      <c r="A108" s="214" t="s">
        <v>32</v>
      </c>
      <c r="B108" s="153"/>
      <c r="C108" s="152"/>
      <c r="D108" s="152"/>
      <c r="E108" s="152"/>
      <c r="F108" s="152"/>
      <c r="G108" s="151"/>
      <c r="H108" s="152"/>
      <c r="I108" s="152"/>
      <c r="J108" s="140"/>
      <c r="K108" s="153">
        <f>B108+C108+D108+E108+F108+G108+H108+I108</f>
        <v>0</v>
      </c>
    </row>
    <row r="109" spans="1:11" s="3" customFormat="1" x14ac:dyDescent="0.25">
      <c r="A109" s="213" t="s">
        <v>602</v>
      </c>
      <c r="B109" s="145"/>
      <c r="C109" s="146"/>
      <c r="D109" s="145"/>
      <c r="E109" s="146"/>
      <c r="F109" s="145"/>
      <c r="G109" s="146"/>
      <c r="H109" s="218"/>
      <c r="I109" s="218"/>
      <c r="J109" s="218"/>
      <c r="K109" s="155"/>
    </row>
    <row r="110" spans="1:11" s="3" customFormat="1" ht="15.75" x14ac:dyDescent="0.25">
      <c r="A110" s="220" t="s">
        <v>42</v>
      </c>
      <c r="B110" s="209"/>
      <c r="C110" s="209"/>
      <c r="D110" s="209"/>
      <c r="E110" s="209"/>
      <c r="F110" s="209"/>
      <c r="G110" s="216"/>
      <c r="H110" s="217"/>
      <c r="I110" s="211"/>
      <c r="J110" s="152"/>
      <c r="K110" s="212" t="s">
        <v>4</v>
      </c>
    </row>
    <row r="111" spans="1:11" s="3" customFormat="1" x14ac:dyDescent="0.25">
      <c r="A111" s="213" t="s">
        <v>36</v>
      </c>
      <c r="B111" s="155"/>
      <c r="C111" s="218"/>
      <c r="D111" s="218"/>
      <c r="E111" s="218"/>
      <c r="F111" s="218"/>
      <c r="G111" s="146"/>
      <c r="H111" s="218"/>
      <c r="I111" s="218"/>
      <c r="J111" s="218"/>
      <c r="K111" s="155">
        <f>B111+C111+D111+E111+F111+G111+H111+I111</f>
        <v>0</v>
      </c>
    </row>
    <row r="112" spans="1:11" x14ac:dyDescent="0.25">
      <c r="A112" s="214" t="s">
        <v>31</v>
      </c>
      <c r="B112" s="153"/>
      <c r="C112" s="152"/>
      <c r="D112" s="152"/>
      <c r="E112" s="152"/>
      <c r="F112" s="152"/>
      <c r="G112" s="151"/>
      <c r="H112" s="152"/>
      <c r="I112" s="152"/>
      <c r="J112" s="140"/>
      <c r="K112" s="153">
        <f>B112+C112+D112+E112+F112+G112+H112+I112</f>
        <v>0</v>
      </c>
    </row>
    <row r="113" spans="1:18" x14ac:dyDescent="0.25">
      <c r="A113" s="215" t="s">
        <v>33</v>
      </c>
      <c r="B113" s="155"/>
      <c r="C113" s="218"/>
      <c r="D113" s="218"/>
      <c r="E113" s="218"/>
      <c r="F113" s="218"/>
      <c r="G113" s="146"/>
      <c r="H113" s="218"/>
      <c r="I113" s="218" t="s">
        <v>18</v>
      </c>
      <c r="J113" s="147"/>
      <c r="K113" s="155"/>
    </row>
    <row r="114" spans="1:18" x14ac:dyDescent="0.25">
      <c r="A114" s="214" t="s">
        <v>32</v>
      </c>
      <c r="B114" s="153"/>
      <c r="C114" s="152"/>
      <c r="D114" s="152"/>
      <c r="E114" s="152"/>
      <c r="F114" s="152"/>
      <c r="G114" s="151"/>
      <c r="H114" s="152"/>
      <c r="I114" s="152"/>
      <c r="J114" s="140"/>
      <c r="K114" s="153">
        <f>B114+C114+D114+E114+F114+G114+H114+I114</f>
        <v>0</v>
      </c>
    </row>
    <row r="115" spans="1:18" s="3" customFormat="1" x14ac:dyDescent="0.25">
      <c r="A115" s="213" t="s">
        <v>602</v>
      </c>
      <c r="B115" s="145"/>
      <c r="C115" s="146"/>
      <c r="D115" s="145"/>
      <c r="E115" s="146"/>
      <c r="F115" s="145"/>
      <c r="G115" s="146"/>
      <c r="H115" s="218"/>
      <c r="I115" s="218"/>
      <c r="J115" s="218"/>
      <c r="K115" s="155"/>
    </row>
    <row r="116" spans="1:18" s="3" customFormat="1" ht="15.75" x14ac:dyDescent="0.25">
      <c r="A116" s="208"/>
      <c r="B116" s="150"/>
      <c r="C116" s="151"/>
      <c r="D116" s="150"/>
      <c r="E116" s="151"/>
      <c r="F116" s="150"/>
      <c r="G116" s="151"/>
      <c r="H116" s="152"/>
      <c r="I116" s="152"/>
      <c r="J116" s="152"/>
      <c r="K116" s="219">
        <f>K102+K101+K100+K99+K96+K95+K94+K93+K82+K81+K76+K75+K70+K69+K64+K63</f>
        <v>2957</v>
      </c>
    </row>
    <row r="117" spans="1:18" s="43" customFormat="1" x14ac:dyDescent="0.25">
      <c r="A117" s="43" t="s">
        <v>201</v>
      </c>
      <c r="B117" s="63">
        <f>(K116)/4</f>
        <v>739.25</v>
      </c>
    </row>
    <row r="118" spans="1:18" s="43" customFormat="1" x14ac:dyDescent="0.25">
      <c r="A118" s="43" t="s">
        <v>202</v>
      </c>
      <c r="B118" s="63">
        <f>(K116)/6</f>
        <v>492.83333333333331</v>
      </c>
    </row>
    <row r="119" spans="1:18" s="43" customFormat="1" x14ac:dyDescent="0.25"/>
    <row r="120" spans="1:18" s="43" customFormat="1" x14ac:dyDescent="0.25">
      <c r="K120" s="43">
        <v>4</v>
      </c>
    </row>
    <row r="121" spans="1:18" ht="38.25" customHeight="1" x14ac:dyDescent="0.35">
      <c r="A121" s="207" t="s">
        <v>198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R121" t="s">
        <v>0</v>
      </c>
    </row>
    <row r="122" spans="1:18" ht="18" customHeight="1" x14ac:dyDescent="0.35">
      <c r="A122" s="207"/>
      <c r="B122" s="43"/>
      <c r="C122" s="43"/>
      <c r="D122" s="43"/>
      <c r="E122" s="43"/>
      <c r="F122" s="43"/>
      <c r="G122" s="43"/>
      <c r="H122" s="127"/>
      <c r="I122" s="43"/>
      <c r="J122" s="43"/>
      <c r="K122" s="43"/>
    </row>
    <row r="123" spans="1:18" ht="15.75" x14ac:dyDescent="0.25">
      <c r="A123" s="222"/>
      <c r="B123" s="209"/>
      <c r="C123" s="151"/>
      <c r="D123" s="239"/>
      <c r="E123" s="240"/>
      <c r="F123" s="210"/>
      <c r="G123" s="151"/>
      <c r="H123" s="211"/>
      <c r="I123" s="211"/>
      <c r="J123" s="211"/>
      <c r="K123" s="212"/>
    </row>
    <row r="124" spans="1:18" x14ac:dyDescent="0.25">
      <c r="A124" s="213"/>
      <c r="B124" s="238">
        <v>200</v>
      </c>
      <c r="C124" s="238"/>
      <c r="D124" s="237">
        <v>300</v>
      </c>
      <c r="E124" s="237"/>
      <c r="F124" s="237">
        <v>400</v>
      </c>
      <c r="G124" s="146"/>
      <c r="H124" s="237">
        <v>600</v>
      </c>
      <c r="I124" s="146"/>
      <c r="J124" s="147"/>
      <c r="K124" s="146"/>
    </row>
    <row r="125" spans="1:18" x14ac:dyDescent="0.25">
      <c r="A125" s="214"/>
      <c r="B125" s="506">
        <f>C57+B57+B28</f>
        <v>3302</v>
      </c>
      <c r="C125" s="151"/>
      <c r="D125" s="229">
        <f>B58+B29</f>
        <v>1454</v>
      </c>
      <c r="E125" s="151"/>
      <c r="F125" s="229">
        <f>B117+E57</f>
        <v>1439.25</v>
      </c>
      <c r="G125" s="151"/>
      <c r="H125" s="258">
        <f>B118+E58</f>
        <v>1192.8333333333333</v>
      </c>
      <c r="I125" s="140"/>
      <c r="J125" s="140"/>
      <c r="K125" s="151"/>
    </row>
    <row r="126" spans="1:18" x14ac:dyDescent="0.25">
      <c r="A126" s="215"/>
      <c r="B126" s="146"/>
      <c r="C126" s="146"/>
      <c r="D126" s="146"/>
      <c r="E126" s="146"/>
      <c r="F126" s="146"/>
      <c r="G126" s="146"/>
      <c r="H126" s="147"/>
      <c r="I126" s="147"/>
      <c r="J126" s="147"/>
      <c r="K126" s="146"/>
    </row>
    <row r="127" spans="1:18" x14ac:dyDescent="0.25">
      <c r="A127" s="214"/>
      <c r="B127" s="151"/>
      <c r="C127" s="151"/>
      <c r="D127" s="151"/>
      <c r="E127" s="151"/>
      <c r="F127" s="151"/>
      <c r="G127" s="151"/>
      <c r="H127" s="140"/>
      <c r="I127" s="140"/>
      <c r="J127" s="140"/>
      <c r="K127" s="151"/>
    </row>
    <row r="128" spans="1:18" x14ac:dyDescent="0.25">
      <c r="A128" s="215"/>
      <c r="B128" s="145"/>
      <c r="C128" s="146"/>
      <c r="D128" s="145"/>
      <c r="E128" s="146"/>
      <c r="F128" s="145"/>
      <c r="G128" s="146"/>
      <c r="H128" s="147"/>
      <c r="I128" s="147"/>
      <c r="J128" s="147"/>
      <c r="K128" s="146"/>
    </row>
    <row r="129" spans="1:11" s="3" customFormat="1" ht="15.75" x14ac:dyDescent="0.25">
      <c r="A129" s="208"/>
      <c r="B129" s="209"/>
      <c r="C129" s="209"/>
      <c r="D129" s="209"/>
      <c r="E129" s="209"/>
      <c r="F129" s="209"/>
      <c r="G129" s="216"/>
      <c r="H129" s="217"/>
      <c r="I129" s="211"/>
      <c r="J129" s="152"/>
      <c r="K129" s="212"/>
    </row>
    <row r="130" spans="1:11" s="3" customFormat="1" x14ac:dyDescent="0.25">
      <c r="A130" s="213"/>
      <c r="B130" s="155"/>
      <c r="C130" s="218"/>
      <c r="D130" s="218"/>
      <c r="E130" s="218"/>
      <c r="F130" s="218"/>
      <c r="G130" s="146"/>
      <c r="H130" s="218"/>
      <c r="I130" s="218"/>
      <c r="J130" s="218"/>
      <c r="K130" s="155"/>
    </row>
    <row r="131" spans="1:11" x14ac:dyDescent="0.25">
      <c r="A131" s="214"/>
      <c r="B131" s="153"/>
      <c r="C131" s="152"/>
      <c r="D131" s="152"/>
      <c r="E131" s="152"/>
      <c r="F131" s="152"/>
      <c r="G131" s="151"/>
      <c r="H131" s="152"/>
      <c r="I131" s="152"/>
      <c r="J131" s="140"/>
      <c r="K131" s="153"/>
    </row>
    <row r="132" spans="1:11" x14ac:dyDescent="0.25">
      <c r="A132" s="215"/>
      <c r="B132" s="155"/>
      <c r="C132" s="218"/>
      <c r="D132" s="218"/>
      <c r="E132" s="218"/>
      <c r="F132" s="218"/>
      <c r="G132" s="146"/>
      <c r="H132" s="218"/>
      <c r="I132" s="218"/>
      <c r="J132" s="147"/>
      <c r="K132" s="155"/>
    </row>
    <row r="133" spans="1:11" x14ac:dyDescent="0.25">
      <c r="A133" s="214"/>
      <c r="B133" s="153"/>
      <c r="C133" s="152"/>
      <c r="D133" s="152"/>
      <c r="E133" s="152"/>
      <c r="F133" s="152"/>
      <c r="G133" s="151"/>
      <c r="H133" s="152"/>
      <c r="I133" s="152"/>
      <c r="J133" s="140"/>
      <c r="K133" s="153"/>
    </row>
    <row r="134" spans="1:11" s="3" customFormat="1" ht="15.75" x14ac:dyDescent="0.25">
      <c r="A134" s="166"/>
      <c r="B134" s="145"/>
      <c r="C134" s="146"/>
      <c r="D134" s="145"/>
      <c r="E134" s="146"/>
      <c r="F134" s="145"/>
      <c r="G134" s="146"/>
      <c r="H134" s="218"/>
      <c r="I134" s="218"/>
      <c r="J134" s="218"/>
      <c r="K134" s="155"/>
    </row>
    <row r="135" spans="1:11" s="3" customFormat="1" ht="15.75" x14ac:dyDescent="0.25">
      <c r="A135" s="208"/>
      <c r="B135" s="209"/>
      <c r="C135" s="209"/>
      <c r="D135" s="209"/>
      <c r="E135" s="209"/>
      <c r="F135" s="209"/>
      <c r="G135" s="216"/>
      <c r="H135" s="217"/>
      <c r="I135" s="211"/>
      <c r="J135" s="152"/>
      <c r="K135" s="212"/>
    </row>
    <row r="136" spans="1:11" s="3" customFormat="1" x14ac:dyDescent="0.25">
      <c r="A136" s="213"/>
      <c r="B136" s="155"/>
      <c r="C136" s="218"/>
      <c r="D136" s="218"/>
      <c r="E136" s="218"/>
      <c r="F136" s="218"/>
      <c r="G136" s="146"/>
      <c r="H136" s="218"/>
      <c r="I136" s="218"/>
      <c r="J136" s="218"/>
      <c r="K136" s="155"/>
    </row>
    <row r="137" spans="1:11" x14ac:dyDescent="0.25">
      <c r="A137" s="214"/>
      <c r="B137" s="153"/>
      <c r="C137" s="152"/>
      <c r="D137" s="152"/>
      <c r="E137" s="152"/>
      <c r="F137" s="152"/>
      <c r="G137" s="151"/>
      <c r="H137" s="152"/>
      <c r="I137" s="152"/>
      <c r="J137" s="140"/>
      <c r="K137" s="153"/>
    </row>
    <row r="138" spans="1:11" x14ac:dyDescent="0.25">
      <c r="A138" s="215"/>
      <c r="B138" s="155"/>
      <c r="C138" s="218"/>
      <c r="D138" s="218"/>
      <c r="E138" s="218"/>
      <c r="F138" s="218"/>
      <c r="G138" s="146"/>
      <c r="H138" s="218"/>
      <c r="I138" s="218"/>
      <c r="J138" s="147"/>
      <c r="K138" s="155"/>
    </row>
    <row r="139" spans="1:11" x14ac:dyDescent="0.25">
      <c r="A139" s="214"/>
      <c r="B139" s="153"/>
      <c r="C139" s="152"/>
      <c r="D139" s="152"/>
      <c r="E139" s="152"/>
      <c r="F139" s="152"/>
      <c r="G139" s="151"/>
      <c r="H139" s="152"/>
      <c r="I139" s="152"/>
      <c r="J139" s="140"/>
      <c r="K139" s="153"/>
    </row>
    <row r="140" spans="1:11" s="3" customFormat="1" ht="15.75" x14ac:dyDescent="0.25">
      <c r="A140" s="166"/>
      <c r="B140" s="145"/>
      <c r="C140" s="146"/>
      <c r="D140" s="145"/>
      <c r="E140" s="146"/>
      <c r="F140" s="145"/>
      <c r="G140" s="146"/>
      <c r="H140" s="218"/>
      <c r="I140" s="218"/>
      <c r="J140" s="218"/>
      <c r="K140" s="155"/>
    </row>
    <row r="141" spans="1:11" s="3" customFormat="1" ht="15.75" x14ac:dyDescent="0.25">
      <c r="A141" s="220"/>
      <c r="B141" s="209"/>
      <c r="C141" s="209"/>
      <c r="D141" s="209"/>
      <c r="E141" s="209"/>
      <c r="F141" s="209"/>
      <c r="G141" s="216"/>
      <c r="H141" s="217"/>
      <c r="I141" s="211"/>
      <c r="J141" s="152"/>
      <c r="K141" s="212"/>
    </row>
    <row r="142" spans="1:11" s="3" customFormat="1" x14ac:dyDescent="0.25">
      <c r="A142" s="213"/>
      <c r="B142" s="155"/>
      <c r="C142" s="218"/>
      <c r="D142" s="218"/>
      <c r="E142" s="218"/>
      <c r="F142" s="218"/>
      <c r="G142" s="146"/>
      <c r="H142" s="218"/>
      <c r="I142" s="218"/>
      <c r="J142" s="218"/>
      <c r="K142" s="155"/>
    </row>
    <row r="143" spans="1:11" x14ac:dyDescent="0.25">
      <c r="A143" s="214"/>
      <c r="B143" s="153"/>
      <c r="C143" s="152"/>
      <c r="D143" s="152"/>
      <c r="E143" s="152"/>
      <c r="F143" s="152"/>
      <c r="G143" s="151"/>
      <c r="H143" s="152"/>
      <c r="I143" s="152"/>
      <c r="J143" s="140"/>
      <c r="K143" s="153"/>
    </row>
    <row r="144" spans="1:11" x14ac:dyDescent="0.25">
      <c r="A144" s="215"/>
      <c r="B144" s="155"/>
      <c r="C144" s="218"/>
      <c r="D144" s="218"/>
      <c r="E144" s="218"/>
      <c r="F144" s="218"/>
      <c r="G144" s="146"/>
      <c r="H144" s="218"/>
      <c r="I144" s="218" t="s">
        <v>18</v>
      </c>
      <c r="J144" s="147"/>
      <c r="K144" s="155"/>
    </row>
    <row r="145" spans="1:11" x14ac:dyDescent="0.25">
      <c r="A145" s="214"/>
      <c r="B145" s="153"/>
      <c r="C145" s="152"/>
      <c r="D145" s="152"/>
      <c r="E145" s="152"/>
      <c r="F145" s="152"/>
      <c r="G145" s="151"/>
      <c r="H145" s="152"/>
      <c r="I145" s="152"/>
      <c r="J145" s="140"/>
      <c r="K145" s="153"/>
    </row>
    <row r="146" spans="1:11" s="3" customFormat="1" ht="15.75" x14ac:dyDescent="0.25">
      <c r="A146" s="166"/>
      <c r="B146" s="145"/>
      <c r="C146" s="146"/>
      <c r="D146" s="145"/>
      <c r="E146" s="146"/>
      <c r="F146" s="145"/>
      <c r="G146" s="146"/>
      <c r="H146" s="218"/>
      <c r="I146" s="218"/>
      <c r="J146" s="218"/>
      <c r="K146" s="155"/>
    </row>
    <row r="147" spans="1:11" s="3" customFormat="1" ht="15.75" x14ac:dyDescent="0.25">
      <c r="A147" s="208"/>
      <c r="B147" s="150"/>
      <c r="C147" s="151"/>
      <c r="D147" s="150"/>
      <c r="E147" s="151"/>
      <c r="F147" s="150"/>
      <c r="G147" s="151"/>
      <c r="H147" s="152"/>
      <c r="I147" s="152"/>
      <c r="J147" s="152"/>
      <c r="K147" s="241">
        <v>5</v>
      </c>
    </row>
  </sheetData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1"/>
  <sheetViews>
    <sheetView workbookViewId="0">
      <selection activeCell="B43" sqref="B43"/>
    </sheetView>
  </sheetViews>
  <sheetFormatPr defaultRowHeight="15" x14ac:dyDescent="0.25"/>
  <cols>
    <col min="1" max="1" width="17.5703125" customWidth="1"/>
    <col min="2" max="2" width="16.7109375" customWidth="1"/>
    <col min="3" max="3" width="17.7109375" customWidth="1"/>
    <col min="4" max="4" width="17.85546875" customWidth="1"/>
    <col min="5" max="5" width="19.140625" customWidth="1"/>
  </cols>
  <sheetData>
    <row r="1" spans="1:12" x14ac:dyDescent="0.25">
      <c r="A1" s="526"/>
      <c r="B1" s="526"/>
      <c r="C1" s="526"/>
      <c r="D1" s="526"/>
      <c r="E1" s="526"/>
    </row>
    <row r="2" spans="1:12" x14ac:dyDescent="0.25">
      <c r="A2" s="14"/>
      <c r="B2" s="14"/>
      <c r="C2" s="4"/>
      <c r="D2" s="4"/>
      <c r="E2" s="4"/>
    </row>
    <row r="3" spans="1:12" ht="18.75" x14ac:dyDescent="0.3">
      <c r="A3" s="303"/>
      <c r="B3" s="316"/>
      <c r="C3" s="535" t="s">
        <v>428</v>
      </c>
      <c r="D3" s="536"/>
      <c r="E3" s="536"/>
    </row>
    <row r="4" spans="1:12" ht="15.75" x14ac:dyDescent="0.25">
      <c r="A4" s="317" t="s">
        <v>146</v>
      </c>
      <c r="B4" s="313" t="s">
        <v>68</v>
      </c>
      <c r="C4" s="313" t="s">
        <v>71</v>
      </c>
      <c r="D4" s="313" t="s">
        <v>376</v>
      </c>
      <c r="E4" s="313" t="s">
        <v>377</v>
      </c>
    </row>
    <row r="5" spans="1:12" ht="28.5" customHeight="1" x14ac:dyDescent="0.25">
      <c r="A5" s="318" t="s">
        <v>147</v>
      </c>
      <c r="B5" s="169">
        <f>'professional Services worksheet'!E25</f>
        <v>3900</v>
      </c>
      <c r="C5" s="301">
        <f>'professional Services worksheet'!E57</f>
        <v>3900</v>
      </c>
      <c r="D5" s="301">
        <f>'professional Services worksheet'!E95</f>
        <v>3900</v>
      </c>
      <c r="E5" s="301">
        <f>'professional Services worksheet'!E127</f>
        <v>3900</v>
      </c>
    </row>
    <row r="6" spans="1:12" ht="27" customHeight="1" x14ac:dyDescent="0.25">
      <c r="A6" s="314" t="s">
        <v>148</v>
      </c>
      <c r="B6" s="170">
        <f>'professional Services worksheet'!D25</f>
        <v>2669</v>
      </c>
      <c r="C6" s="221">
        <f>'professional Services worksheet'!D57</f>
        <v>25906</v>
      </c>
      <c r="D6" s="221"/>
      <c r="E6" s="221"/>
      <c r="L6" s="315"/>
    </row>
    <row r="7" spans="1:12" ht="27.75" customHeight="1" x14ac:dyDescent="0.25">
      <c r="A7" s="318" t="s">
        <v>149</v>
      </c>
      <c r="B7" s="169">
        <f>'professional Services worksheet'!L25</f>
        <v>4500</v>
      </c>
      <c r="C7" s="301">
        <f>'professional Services worksheet'!L57</f>
        <v>4500</v>
      </c>
      <c r="D7" s="301">
        <f>'professional Services worksheet'!L95</f>
        <v>4500</v>
      </c>
      <c r="E7" s="301">
        <f>'professional Services worksheet'!L127</f>
        <v>4500</v>
      </c>
    </row>
    <row r="8" spans="1:12" ht="33.75" customHeight="1" x14ac:dyDescent="0.25">
      <c r="A8" s="321" t="s">
        <v>427</v>
      </c>
      <c r="B8" s="170">
        <f>'professional Services worksheet'!B25+'professional Services worksheet'!C25+'professional Services worksheet'!G25+'professional Services worksheet'!I25+'professional Services worksheet'!J25+'professional Services worksheet'!K25+'professional Services worksheet'!L25+'professional Services worksheet'!M25+'professional Services worksheet'!N25</f>
        <v>10473.94</v>
      </c>
      <c r="C8" s="221">
        <f>'professional Services worksheet'!B57+'professional Services worksheet'!C57+'professional Services worksheet'!G57+'professional Services worksheet'!I57+'professional Services worksheet'!J57+'professional Services worksheet'!K57+'professional Services worksheet'!M57+'professional Services worksheet'!N57+'professional Services worksheet'!P57</f>
        <v>14610.26</v>
      </c>
      <c r="D8" s="221">
        <f>'professional Services worksheet'!B95+'professional Services worksheet'!C95+'professional Services worksheet'!D95+'professional Services worksheet'!G95+'professional Services worksheet'!I95+'professional Services worksheet'!J95+'professional Services worksheet'!K95+'professional Services worksheet'!M95+'professional Services worksheet'!P95+'professional Services worksheet'!Q95+'professional Services worksheet'!R95+'professional Services worksheet'!S95</f>
        <v>10653.750000000002</v>
      </c>
      <c r="E8" s="221">
        <f>'professional Services worksheet'!B127+'professional Services worksheet'!C127+'professional Services worksheet'!G127+'professional Services worksheet'!I127+'professional Services worksheet'!J127+'professional Services worksheet'!K127+'professional Services worksheet'!L127+'professional Services worksheet'!M127</f>
        <v>9944.7400000000016</v>
      </c>
    </row>
    <row r="9" spans="1:12" ht="28.5" customHeight="1" x14ac:dyDescent="0.25">
      <c r="A9" s="318" t="s">
        <v>150</v>
      </c>
      <c r="B9" s="169">
        <f>'professional Services worksheet'!O25</f>
        <v>3000</v>
      </c>
      <c r="C9" s="302">
        <f>'professional Services worksheet'!O57</f>
        <v>3000</v>
      </c>
      <c r="D9" s="302">
        <f>'professional Services worksheet'!O95</f>
        <v>2000</v>
      </c>
      <c r="E9" s="302">
        <f>'professional Services worksheet'!O127</f>
        <v>8000</v>
      </c>
    </row>
    <row r="10" spans="1:12" x14ac:dyDescent="0.25">
      <c r="A10" s="312"/>
      <c r="B10" s="312"/>
      <c r="C10" s="312"/>
      <c r="D10" s="312"/>
      <c r="E10" s="312"/>
    </row>
    <row r="11" spans="1:12" ht="21" x14ac:dyDescent="0.35">
      <c r="A11" s="106" t="s">
        <v>429</v>
      </c>
      <c r="B11" s="319"/>
      <c r="C11" s="319"/>
      <c r="D11" s="319"/>
      <c r="E11" s="320"/>
    </row>
    <row r="12" spans="1:12" x14ac:dyDescent="0.25">
      <c r="A12" s="43"/>
      <c r="B12" s="312"/>
      <c r="C12" s="312"/>
      <c r="D12" s="312"/>
      <c r="E12" s="312"/>
    </row>
    <row r="13" spans="1:12" ht="15.75" x14ac:dyDescent="0.25">
      <c r="A13" s="43"/>
      <c r="B13" s="313" t="s">
        <v>68</v>
      </c>
      <c r="C13" s="313" t="s">
        <v>71</v>
      </c>
      <c r="D13" s="313" t="s">
        <v>376</v>
      </c>
      <c r="E13" s="313" t="s">
        <v>377</v>
      </c>
    </row>
    <row r="14" spans="1:12" x14ac:dyDescent="0.25">
      <c r="A14" s="36"/>
      <c r="B14" s="258">
        <f>'professional Services worksheet'!F32</f>
        <v>24192.025000000001</v>
      </c>
      <c r="C14" s="258">
        <f>'professional Services worksheet'!H65</f>
        <v>57795.396999999997</v>
      </c>
      <c r="D14" s="258">
        <f>'professional Services worksheet'!H99</f>
        <v>23846.636000000002</v>
      </c>
      <c r="E14" s="258">
        <f>'professional Services worksheet'!F131</f>
        <v>24716.724999999999</v>
      </c>
    </row>
    <row r="15" spans="1:12" x14ac:dyDescent="0.25">
      <c r="A15" s="43"/>
      <c r="B15" s="147"/>
      <c r="C15" s="147"/>
      <c r="D15" s="147"/>
      <c r="E15" s="147"/>
    </row>
    <row r="16" spans="1:12" x14ac:dyDescent="0.25">
      <c r="A16" s="36"/>
      <c r="B16" s="140"/>
      <c r="C16" s="140"/>
      <c r="D16" s="140"/>
      <c r="E16" s="140"/>
    </row>
    <row r="17" spans="1:5" x14ac:dyDescent="0.25">
      <c r="A17" s="43"/>
      <c r="B17" s="147"/>
      <c r="C17" s="147"/>
      <c r="D17" s="147"/>
      <c r="E17" s="147"/>
    </row>
    <row r="18" spans="1:5" x14ac:dyDescent="0.25">
      <c r="A18" s="36"/>
      <c r="B18" s="140"/>
      <c r="C18" s="140"/>
      <c r="D18" s="140"/>
      <c r="E18" s="140"/>
    </row>
    <row r="19" spans="1:5" x14ac:dyDescent="0.25">
      <c r="A19" s="43"/>
      <c r="B19" s="147"/>
      <c r="C19" s="147"/>
      <c r="D19" s="147"/>
      <c r="E19" s="147"/>
    </row>
    <row r="20" spans="1:5" x14ac:dyDescent="0.25">
      <c r="A20" s="36"/>
      <c r="B20" s="140"/>
      <c r="C20" s="140"/>
      <c r="D20" s="140"/>
      <c r="E20" s="140"/>
    </row>
    <row r="21" spans="1:5" x14ac:dyDescent="0.25">
      <c r="A21" s="43"/>
      <c r="B21" s="147"/>
      <c r="C21" s="147"/>
      <c r="D21" s="147"/>
      <c r="E21" s="147"/>
    </row>
    <row r="22" spans="1:5" x14ac:dyDescent="0.25">
      <c r="A22" s="36"/>
      <c r="B22" s="140"/>
      <c r="C22" s="140"/>
      <c r="D22" s="140"/>
      <c r="E22" s="140"/>
    </row>
    <row r="23" spans="1:5" x14ac:dyDescent="0.25">
      <c r="A23" s="43"/>
      <c r="B23" s="147"/>
      <c r="C23" s="147"/>
      <c r="D23" s="147"/>
      <c r="E23" s="147"/>
    </row>
    <row r="24" spans="1:5" x14ac:dyDescent="0.25">
      <c r="A24" s="36"/>
      <c r="B24" s="140"/>
      <c r="C24" s="140"/>
      <c r="D24" s="140"/>
      <c r="E24" s="140"/>
    </row>
    <row r="25" spans="1:5" x14ac:dyDescent="0.25">
      <c r="A25" s="43"/>
      <c r="B25" s="147"/>
      <c r="C25" s="147"/>
      <c r="D25" s="147"/>
      <c r="E25" s="147"/>
    </row>
    <row r="26" spans="1:5" x14ac:dyDescent="0.25">
      <c r="A26" s="36"/>
      <c r="B26" s="140"/>
      <c r="C26" s="140"/>
      <c r="D26" s="140"/>
      <c r="E26" s="140"/>
    </row>
    <row r="27" spans="1:5" x14ac:dyDescent="0.25">
      <c r="A27" s="43"/>
      <c r="B27" s="147"/>
      <c r="C27" s="147"/>
      <c r="D27" s="147"/>
      <c r="E27" s="147"/>
    </row>
    <row r="28" spans="1:5" x14ac:dyDescent="0.25">
      <c r="A28" s="36"/>
      <c r="B28" s="140"/>
      <c r="C28" s="140"/>
      <c r="D28" s="140"/>
      <c r="E28" s="140"/>
    </row>
    <row r="29" spans="1:5" x14ac:dyDescent="0.25">
      <c r="A29" s="43"/>
      <c r="B29" s="147"/>
      <c r="C29" s="147"/>
      <c r="D29" s="147"/>
      <c r="E29" s="147"/>
    </row>
    <row r="30" spans="1:5" x14ac:dyDescent="0.25">
      <c r="A30" s="36"/>
      <c r="B30" s="140"/>
      <c r="C30" s="140"/>
      <c r="D30" s="140"/>
      <c r="E30" s="140"/>
    </row>
    <row r="31" spans="1:5" x14ac:dyDescent="0.25">
      <c r="A31" s="43"/>
      <c r="B31" s="147"/>
      <c r="C31" s="147"/>
      <c r="D31" s="147"/>
      <c r="E31" s="147"/>
    </row>
    <row r="32" spans="1:5" x14ac:dyDescent="0.25">
      <c r="A32" s="36"/>
      <c r="B32" s="140"/>
      <c r="C32" s="140"/>
      <c r="D32" s="140"/>
      <c r="E32" s="140"/>
    </row>
    <row r="33" spans="1:5" x14ac:dyDescent="0.25">
      <c r="A33" s="36"/>
      <c r="B33" s="140"/>
      <c r="C33" s="140"/>
      <c r="D33" s="140"/>
      <c r="E33" s="140"/>
    </row>
    <row r="34" spans="1:5" x14ac:dyDescent="0.25">
      <c r="A34" s="43"/>
      <c r="B34" s="147"/>
      <c r="C34" s="147"/>
      <c r="D34" s="147"/>
      <c r="E34" s="147"/>
    </row>
    <row r="35" spans="1:5" x14ac:dyDescent="0.25">
      <c r="A35" s="36"/>
      <c r="B35" s="140"/>
      <c r="C35" s="140"/>
      <c r="D35" s="140"/>
      <c r="E35" s="140"/>
    </row>
    <row r="36" spans="1:5" x14ac:dyDescent="0.25">
      <c r="A36" s="43"/>
      <c r="B36" s="147"/>
      <c r="C36" s="147"/>
      <c r="D36" s="147"/>
      <c r="E36" s="147"/>
    </row>
    <row r="37" spans="1:5" x14ac:dyDescent="0.25">
      <c r="A37" s="36"/>
      <c r="B37" s="140"/>
      <c r="C37" s="140"/>
      <c r="D37" s="140"/>
      <c r="E37" s="140"/>
    </row>
    <row r="38" spans="1:5" x14ac:dyDescent="0.25">
      <c r="A38" s="43"/>
      <c r="B38" s="147"/>
      <c r="C38" s="147"/>
      <c r="D38" s="147"/>
      <c r="E38" s="147"/>
    </row>
    <row r="39" spans="1:5" x14ac:dyDescent="0.25">
      <c r="A39" s="36"/>
      <c r="B39" s="140"/>
      <c r="C39" s="140"/>
      <c r="D39" s="140"/>
      <c r="E39" s="140"/>
    </row>
    <row r="40" spans="1:5" x14ac:dyDescent="0.25">
      <c r="A40" s="43"/>
      <c r="B40" s="147"/>
      <c r="C40" s="147"/>
      <c r="D40" s="147"/>
      <c r="E40" s="147"/>
    </row>
    <row r="41" spans="1:5" x14ac:dyDescent="0.25">
      <c r="A41" s="36"/>
      <c r="B41" s="140"/>
      <c r="C41" s="140"/>
      <c r="D41" s="140"/>
      <c r="E41" s="140"/>
    </row>
  </sheetData>
  <mergeCells count="2">
    <mergeCell ref="A1:E1"/>
    <mergeCell ref="C3:E3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V131"/>
  <sheetViews>
    <sheetView workbookViewId="0">
      <selection activeCell="N33" sqref="N33"/>
    </sheetView>
  </sheetViews>
  <sheetFormatPr defaultRowHeight="15" x14ac:dyDescent="0.25"/>
  <cols>
    <col min="2" max="2" width="15.28515625" customWidth="1"/>
    <col min="3" max="3" width="13.28515625" customWidth="1"/>
    <col min="4" max="4" width="12" customWidth="1"/>
    <col min="5" max="5" width="11" customWidth="1"/>
    <col min="6" max="6" width="12.28515625" customWidth="1"/>
    <col min="7" max="7" width="14.7109375" customWidth="1"/>
    <col min="8" max="8" width="13.28515625" customWidth="1"/>
    <col min="9" max="9" width="11.140625" customWidth="1"/>
    <col min="11" max="11" width="13.42578125" customWidth="1"/>
    <col min="12" max="12" width="16.28515625" customWidth="1"/>
    <col min="13" max="13" width="12.85546875" customWidth="1"/>
    <col min="14" max="14" width="13" customWidth="1"/>
    <col min="15" max="15" width="9.85546875" bestFit="1" customWidth="1"/>
    <col min="16" max="16" width="17.5703125" customWidth="1"/>
    <col min="17" max="17" width="13.28515625" customWidth="1"/>
    <col min="18" max="18" width="13" customWidth="1"/>
    <col min="19" max="19" width="11.7109375" customWidth="1"/>
    <col min="22" max="22" width="12.28515625" customWidth="1"/>
  </cols>
  <sheetData>
    <row r="2" spans="1:16" ht="18.75" x14ac:dyDescent="0.3">
      <c r="A2" t="s">
        <v>378</v>
      </c>
      <c r="D2" s="295" t="s">
        <v>379</v>
      </c>
    </row>
    <row r="4" spans="1:16" x14ac:dyDescent="0.25">
      <c r="B4" s="304" t="s">
        <v>380</v>
      </c>
      <c r="C4" s="304" t="s">
        <v>381</v>
      </c>
      <c r="D4" s="268" t="s">
        <v>383</v>
      </c>
      <c r="E4" s="306" t="s">
        <v>386</v>
      </c>
      <c r="F4" s="308" t="s">
        <v>387</v>
      </c>
      <c r="G4" s="304" t="s">
        <v>389</v>
      </c>
      <c r="H4" s="308" t="s">
        <v>391</v>
      </c>
      <c r="I4" s="304" t="s">
        <v>393</v>
      </c>
      <c r="J4" s="304" t="s">
        <v>395</v>
      </c>
      <c r="K4" s="304" t="s">
        <v>400</v>
      </c>
      <c r="L4" s="304" t="s">
        <v>402</v>
      </c>
      <c r="M4" s="304"/>
      <c r="N4" s="304" t="s">
        <v>403</v>
      </c>
      <c r="O4" s="310" t="s">
        <v>295</v>
      </c>
      <c r="P4" s="304" t="s">
        <v>605</v>
      </c>
    </row>
    <row r="5" spans="1:16" x14ac:dyDescent="0.25">
      <c r="A5" s="225" t="s">
        <v>294</v>
      </c>
      <c r="B5" s="305" t="s">
        <v>382</v>
      </c>
      <c r="C5" s="305" t="s">
        <v>385</v>
      </c>
      <c r="D5" s="296" t="s">
        <v>384</v>
      </c>
      <c r="E5" s="306" t="s">
        <v>405</v>
      </c>
      <c r="F5" s="308" t="s">
        <v>388</v>
      </c>
      <c r="G5" s="305" t="s">
        <v>390</v>
      </c>
      <c r="H5" s="308" t="s">
        <v>392</v>
      </c>
      <c r="I5" s="305" t="s">
        <v>394</v>
      </c>
      <c r="J5" s="305"/>
      <c r="K5" s="305" t="s">
        <v>401</v>
      </c>
      <c r="L5" s="305" t="s">
        <v>406</v>
      </c>
      <c r="M5" s="305"/>
      <c r="N5" s="305" t="s">
        <v>404</v>
      </c>
      <c r="O5" s="310"/>
      <c r="P5" s="305"/>
    </row>
    <row r="6" spans="1:16" x14ac:dyDescent="0.25">
      <c r="B6" s="258">
        <v>21.67</v>
      </c>
      <c r="C6" s="258">
        <v>50</v>
      </c>
      <c r="D6" s="13">
        <v>280</v>
      </c>
      <c r="E6" s="307">
        <v>325</v>
      </c>
      <c r="F6" s="309">
        <v>445.77</v>
      </c>
      <c r="G6" s="258">
        <v>2500</v>
      </c>
      <c r="H6" s="309">
        <v>179.25</v>
      </c>
      <c r="I6" s="258">
        <v>138.44</v>
      </c>
      <c r="J6" s="258">
        <v>238.27</v>
      </c>
      <c r="K6" s="258">
        <v>333.75</v>
      </c>
      <c r="L6" s="258">
        <v>4500</v>
      </c>
      <c r="M6" s="258"/>
      <c r="N6" s="258">
        <v>1320</v>
      </c>
      <c r="O6" s="311">
        <v>3000</v>
      </c>
      <c r="P6" s="258">
        <v>1324.79</v>
      </c>
    </row>
    <row r="7" spans="1:16" x14ac:dyDescent="0.25">
      <c r="B7" s="258">
        <v>21.67</v>
      </c>
      <c r="C7" s="258">
        <v>50</v>
      </c>
      <c r="D7" s="13">
        <v>891</v>
      </c>
      <c r="E7" s="307">
        <v>325</v>
      </c>
      <c r="F7" s="309"/>
      <c r="G7" s="258"/>
      <c r="H7" s="309"/>
      <c r="I7" s="258"/>
      <c r="J7" s="258"/>
      <c r="K7" s="258">
        <v>85.5</v>
      </c>
      <c r="L7" s="258"/>
      <c r="M7" s="258"/>
      <c r="N7" s="258"/>
      <c r="O7" s="311"/>
      <c r="P7" s="223"/>
    </row>
    <row r="8" spans="1:16" x14ac:dyDescent="0.25">
      <c r="B8" s="258">
        <v>37.409999999999997</v>
      </c>
      <c r="C8" s="258">
        <v>50</v>
      </c>
      <c r="D8" s="13">
        <v>203</v>
      </c>
      <c r="E8" s="307">
        <v>325</v>
      </c>
      <c r="F8" s="309"/>
      <c r="G8" s="258"/>
      <c r="H8" s="309"/>
      <c r="I8" s="258"/>
      <c r="J8" s="258"/>
      <c r="K8" s="258">
        <v>350</v>
      </c>
      <c r="L8" s="258"/>
      <c r="M8" s="258"/>
      <c r="N8" s="258"/>
      <c r="O8" s="311"/>
      <c r="P8" s="223"/>
    </row>
    <row r="9" spans="1:16" x14ac:dyDescent="0.25">
      <c r="B9" s="258">
        <v>21.61</v>
      </c>
      <c r="C9" s="258">
        <v>50</v>
      </c>
      <c r="D9" s="13">
        <v>259</v>
      </c>
      <c r="E9" s="307">
        <v>325</v>
      </c>
      <c r="F9" s="309"/>
      <c r="G9" s="258"/>
      <c r="H9" s="309"/>
      <c r="I9" s="258"/>
      <c r="J9" s="258"/>
      <c r="K9" s="258"/>
      <c r="L9" s="258"/>
      <c r="M9" s="258"/>
      <c r="N9" s="258"/>
      <c r="O9" s="311"/>
      <c r="P9" s="223"/>
    </row>
    <row r="10" spans="1:16" x14ac:dyDescent="0.25">
      <c r="B10" s="258">
        <v>17.34</v>
      </c>
      <c r="C10" s="258">
        <v>50</v>
      </c>
      <c r="D10" s="13">
        <v>84</v>
      </c>
      <c r="E10" s="307">
        <v>325</v>
      </c>
      <c r="F10" s="309"/>
      <c r="G10" s="258"/>
      <c r="H10" s="309"/>
      <c r="I10" s="258"/>
      <c r="J10" s="258"/>
      <c r="K10" s="258"/>
      <c r="L10" s="258"/>
      <c r="M10" s="258"/>
      <c r="N10" s="258"/>
      <c r="O10" s="311"/>
      <c r="P10" s="223"/>
    </row>
    <row r="11" spans="1:16" x14ac:dyDescent="0.25">
      <c r="B11" s="258">
        <v>64.69</v>
      </c>
      <c r="C11" s="258">
        <v>50</v>
      </c>
      <c r="D11" s="13">
        <v>168</v>
      </c>
      <c r="E11" s="307">
        <v>325</v>
      </c>
      <c r="F11" s="309"/>
      <c r="G11" s="258"/>
      <c r="H11" s="309"/>
      <c r="I11" s="258"/>
      <c r="J11" s="258"/>
      <c r="K11" s="258"/>
      <c r="L11" s="258"/>
      <c r="M11" s="258"/>
      <c r="N11" s="258"/>
      <c r="O11" s="311"/>
      <c r="P11" s="223"/>
    </row>
    <row r="12" spans="1:16" x14ac:dyDescent="0.25">
      <c r="B12" s="258">
        <v>21.67</v>
      </c>
      <c r="C12" s="258">
        <v>50</v>
      </c>
      <c r="D12" s="13">
        <v>140</v>
      </c>
      <c r="E12" s="307">
        <v>325</v>
      </c>
      <c r="F12" s="309"/>
      <c r="G12" s="258"/>
      <c r="H12" s="309"/>
      <c r="I12" s="258"/>
      <c r="J12" s="258"/>
      <c r="K12" s="258"/>
      <c r="L12" s="258"/>
      <c r="M12" s="258"/>
      <c r="N12" s="258"/>
      <c r="O12" s="311"/>
      <c r="P12" s="223"/>
    </row>
    <row r="13" spans="1:16" x14ac:dyDescent="0.25">
      <c r="B13" s="258">
        <v>25.57</v>
      </c>
      <c r="C13" s="258">
        <v>50</v>
      </c>
      <c r="D13" s="13">
        <v>140</v>
      </c>
      <c r="E13" s="307">
        <v>325</v>
      </c>
      <c r="F13" s="309"/>
      <c r="G13" s="258"/>
      <c r="H13" s="309"/>
      <c r="I13" s="258"/>
      <c r="J13" s="258"/>
      <c r="K13" s="258"/>
      <c r="L13" s="258"/>
      <c r="M13" s="258"/>
      <c r="N13" s="258"/>
      <c r="O13" s="311"/>
      <c r="P13" s="223"/>
    </row>
    <row r="14" spans="1:16" x14ac:dyDescent="0.25">
      <c r="B14" s="258">
        <v>43.02</v>
      </c>
      <c r="C14" s="258">
        <v>50</v>
      </c>
      <c r="D14" s="13">
        <v>308</v>
      </c>
      <c r="E14" s="307">
        <v>325</v>
      </c>
      <c r="F14" s="309"/>
      <c r="G14" s="258"/>
      <c r="H14" s="309"/>
      <c r="I14" s="258"/>
      <c r="J14" s="258"/>
      <c r="K14" s="258"/>
      <c r="L14" s="258"/>
      <c r="M14" s="258"/>
      <c r="N14" s="258"/>
      <c r="O14" s="311"/>
      <c r="P14" s="223"/>
    </row>
    <row r="15" spans="1:16" x14ac:dyDescent="0.25">
      <c r="B15" s="258">
        <v>25.57</v>
      </c>
      <c r="C15" s="258">
        <v>50</v>
      </c>
      <c r="D15" s="13">
        <v>140</v>
      </c>
      <c r="E15" s="307">
        <v>325</v>
      </c>
      <c r="F15" s="309"/>
      <c r="G15" s="258"/>
      <c r="H15" s="309"/>
      <c r="I15" s="258"/>
      <c r="J15" s="258"/>
      <c r="K15" s="258"/>
      <c r="L15" s="258"/>
      <c r="M15" s="258"/>
      <c r="N15" s="258"/>
      <c r="O15" s="311"/>
      <c r="P15" s="223"/>
    </row>
    <row r="16" spans="1:16" x14ac:dyDescent="0.25">
      <c r="B16" s="258">
        <v>6.62</v>
      </c>
      <c r="C16" s="258">
        <v>50</v>
      </c>
      <c r="D16" s="13">
        <v>56</v>
      </c>
      <c r="E16" s="307">
        <v>325</v>
      </c>
      <c r="F16" s="309"/>
      <c r="G16" s="258"/>
      <c r="H16" s="309"/>
      <c r="I16" s="258"/>
      <c r="J16" s="258"/>
      <c r="K16" s="258"/>
      <c r="L16" s="258"/>
      <c r="M16" s="258"/>
      <c r="N16" s="258"/>
      <c r="O16" s="311"/>
      <c r="P16" s="223"/>
    </row>
    <row r="17" spans="2:17" x14ac:dyDescent="0.25">
      <c r="B17" s="258">
        <v>25.57</v>
      </c>
      <c r="C17" s="258">
        <v>50</v>
      </c>
      <c r="D17" s="13"/>
      <c r="E17" s="307">
        <v>325</v>
      </c>
      <c r="F17" s="309"/>
      <c r="G17" s="258"/>
      <c r="H17" s="309"/>
      <c r="I17" s="258"/>
      <c r="J17" s="258"/>
      <c r="K17" s="258"/>
      <c r="L17" s="258"/>
      <c r="M17" s="258"/>
      <c r="N17" s="258"/>
      <c r="O17" s="311"/>
      <c r="P17" s="223"/>
    </row>
    <row r="18" spans="2:17" x14ac:dyDescent="0.25">
      <c r="B18" s="258">
        <v>25.57</v>
      </c>
      <c r="C18" s="258">
        <v>50</v>
      </c>
      <c r="D18" s="13"/>
      <c r="E18" s="307"/>
      <c r="F18" s="309"/>
      <c r="G18" s="258"/>
      <c r="H18" s="309"/>
      <c r="I18" s="258"/>
      <c r="J18" s="258"/>
      <c r="K18" s="258"/>
      <c r="L18" s="258"/>
      <c r="M18" s="258"/>
      <c r="N18" s="258"/>
      <c r="O18" s="311"/>
      <c r="P18" s="223"/>
    </row>
    <row r="19" spans="2:17" x14ac:dyDescent="0.25">
      <c r="B19" s="258"/>
      <c r="C19" s="258"/>
      <c r="D19" s="13"/>
      <c r="E19" s="307"/>
      <c r="F19" s="309"/>
      <c r="G19" s="258"/>
      <c r="H19" s="309"/>
      <c r="I19" s="258"/>
      <c r="J19" s="258"/>
      <c r="K19" s="258"/>
      <c r="L19" s="258"/>
      <c r="M19" s="258"/>
      <c r="N19" s="258"/>
      <c r="O19" s="311"/>
      <c r="P19" s="223"/>
    </row>
    <row r="20" spans="2:17" x14ac:dyDescent="0.25">
      <c r="B20" s="258"/>
      <c r="C20" s="258"/>
      <c r="D20" s="13"/>
      <c r="E20" s="307"/>
      <c r="F20" s="309"/>
      <c r="G20" s="258"/>
      <c r="H20" s="309"/>
      <c r="I20" s="258"/>
      <c r="J20" s="258"/>
      <c r="K20" s="258"/>
      <c r="L20" s="258"/>
      <c r="M20" s="258"/>
      <c r="N20" s="258"/>
      <c r="O20" s="311"/>
      <c r="P20" s="223"/>
    </row>
    <row r="21" spans="2:17" x14ac:dyDescent="0.25">
      <c r="B21" s="258"/>
      <c r="C21" s="258"/>
      <c r="D21" s="13"/>
      <c r="E21" s="307"/>
      <c r="F21" s="309"/>
      <c r="G21" s="258"/>
      <c r="H21" s="309"/>
      <c r="I21" s="258"/>
      <c r="J21" s="258"/>
      <c r="K21" s="258"/>
      <c r="L21" s="258"/>
      <c r="M21" s="258"/>
      <c r="N21" s="258"/>
      <c r="O21" s="311"/>
      <c r="P21" s="223"/>
    </row>
    <row r="22" spans="2:17" x14ac:dyDescent="0.25">
      <c r="B22" s="258"/>
      <c r="C22" s="258"/>
      <c r="D22" s="13"/>
      <c r="E22" s="307"/>
      <c r="F22" s="309"/>
      <c r="G22" s="258"/>
      <c r="H22" s="309"/>
      <c r="I22" s="258"/>
      <c r="J22" s="258"/>
      <c r="K22" s="258"/>
      <c r="L22" s="258"/>
      <c r="M22" s="258"/>
      <c r="N22" s="258"/>
      <c r="O22" s="311"/>
      <c r="P22" s="223"/>
    </row>
    <row r="23" spans="2:17" x14ac:dyDescent="0.25">
      <c r="B23" s="258"/>
      <c r="C23" s="258"/>
      <c r="D23" s="13"/>
      <c r="E23" s="307"/>
      <c r="F23" s="309"/>
      <c r="G23" s="258"/>
      <c r="H23" s="309"/>
      <c r="I23" s="258"/>
      <c r="J23" s="258"/>
      <c r="K23" s="258"/>
      <c r="L23" s="258"/>
      <c r="M23" s="258"/>
      <c r="N23" s="258"/>
      <c r="O23" s="311"/>
      <c r="P23" s="223"/>
    </row>
    <row r="24" spans="2:17" x14ac:dyDescent="0.25">
      <c r="B24" s="258"/>
      <c r="C24" s="258"/>
      <c r="D24" s="13"/>
      <c r="E24" s="307"/>
      <c r="F24" s="309"/>
      <c r="G24" s="258"/>
      <c r="H24" s="309"/>
      <c r="I24" s="258"/>
      <c r="J24" s="258"/>
      <c r="K24" s="258"/>
      <c r="L24" s="258"/>
      <c r="M24" s="258"/>
      <c r="N24" s="258"/>
      <c r="O24" s="311"/>
      <c r="P24" s="223"/>
    </row>
    <row r="25" spans="2:17" x14ac:dyDescent="0.25">
      <c r="B25" s="258">
        <f t="shared" ref="B25:O25" si="0">SUM(B6:B24)</f>
        <v>357.97999999999996</v>
      </c>
      <c r="C25" s="258">
        <f t="shared" si="0"/>
        <v>650</v>
      </c>
      <c r="D25" s="13">
        <f t="shared" si="0"/>
        <v>2669</v>
      </c>
      <c r="E25" s="307">
        <f t="shared" si="0"/>
        <v>3900</v>
      </c>
      <c r="F25" s="309">
        <f t="shared" si="0"/>
        <v>445.77</v>
      </c>
      <c r="G25" s="258">
        <f t="shared" si="0"/>
        <v>2500</v>
      </c>
      <c r="H25" s="309">
        <f t="shared" si="0"/>
        <v>179.25</v>
      </c>
      <c r="I25" s="258">
        <f t="shared" si="0"/>
        <v>138.44</v>
      </c>
      <c r="J25" s="258">
        <f t="shared" si="0"/>
        <v>238.27</v>
      </c>
      <c r="K25" s="258">
        <f t="shared" si="0"/>
        <v>769.25</v>
      </c>
      <c r="L25" s="258">
        <f t="shared" si="0"/>
        <v>4500</v>
      </c>
      <c r="M25" s="258">
        <f t="shared" si="0"/>
        <v>0</v>
      </c>
      <c r="N25" s="258">
        <f t="shared" si="0"/>
        <v>1320</v>
      </c>
      <c r="O25" s="311">
        <f t="shared" si="0"/>
        <v>3000</v>
      </c>
      <c r="P25" s="258">
        <f>SUM(P6:P24)</f>
        <v>1324.79</v>
      </c>
      <c r="Q25" s="13">
        <f>SUM(B25:P25)</f>
        <v>21992.75</v>
      </c>
    </row>
    <row r="26" spans="2:17" x14ac:dyDescent="0.25">
      <c r="Q26" s="13">
        <f>Q25*0.1</f>
        <v>2199.2750000000001</v>
      </c>
    </row>
    <row r="31" spans="2:17" x14ac:dyDescent="0.25">
      <c r="C31" t="s">
        <v>426</v>
      </c>
      <c r="D31" t="s">
        <v>423</v>
      </c>
      <c r="E31" t="s">
        <v>420</v>
      </c>
      <c r="F31" t="s">
        <v>421</v>
      </c>
    </row>
    <row r="32" spans="2:17" x14ac:dyDescent="0.25">
      <c r="C32" s="13">
        <v>17966.3</v>
      </c>
      <c r="D32" s="13">
        <v>32154.94</v>
      </c>
      <c r="E32" s="13">
        <v>21006.66</v>
      </c>
      <c r="F32" s="13">
        <f>Q25+Q26</f>
        <v>24192.025000000001</v>
      </c>
    </row>
    <row r="36" spans="1:17" ht="18.75" x14ac:dyDescent="0.3">
      <c r="A36" t="s">
        <v>396</v>
      </c>
      <c r="B36" t="s">
        <v>18</v>
      </c>
      <c r="D36" s="295" t="s">
        <v>106</v>
      </c>
      <c r="E36" t="s">
        <v>397</v>
      </c>
    </row>
    <row r="38" spans="1:17" ht="30.75" customHeight="1" x14ac:dyDescent="0.25">
      <c r="B38" s="268" t="s">
        <v>380</v>
      </c>
      <c r="C38" s="268" t="s">
        <v>381</v>
      </c>
      <c r="D38" s="268" t="s">
        <v>383</v>
      </c>
      <c r="E38" s="268" t="s">
        <v>386</v>
      </c>
      <c r="F38" s="268" t="s">
        <v>387</v>
      </c>
      <c r="G38" s="298" t="s">
        <v>408</v>
      </c>
      <c r="H38" s="299" t="s">
        <v>391</v>
      </c>
      <c r="I38" s="268" t="s">
        <v>393</v>
      </c>
      <c r="J38" s="268" t="s">
        <v>395</v>
      </c>
      <c r="K38" s="268" t="s">
        <v>400</v>
      </c>
      <c r="L38" s="268" t="s">
        <v>402</v>
      </c>
      <c r="M38" s="268"/>
      <c r="N38" s="268" t="s">
        <v>419</v>
      </c>
      <c r="O38" s="268" t="s">
        <v>295</v>
      </c>
      <c r="P38" s="298" t="s">
        <v>409</v>
      </c>
      <c r="Q38" s="298" t="s">
        <v>605</v>
      </c>
    </row>
    <row r="39" spans="1:17" x14ac:dyDescent="0.25">
      <c r="A39" s="225" t="s">
        <v>294</v>
      </c>
      <c r="B39" s="296" t="s">
        <v>382</v>
      </c>
      <c r="C39" s="296" t="s">
        <v>385</v>
      </c>
      <c r="D39" s="296" t="s">
        <v>384</v>
      </c>
      <c r="E39" s="296" t="s">
        <v>407</v>
      </c>
      <c r="F39" s="296" t="s">
        <v>388</v>
      </c>
      <c r="G39" s="296"/>
      <c r="H39" s="296" t="s">
        <v>392</v>
      </c>
      <c r="I39" s="296" t="s">
        <v>394</v>
      </c>
      <c r="J39" s="296"/>
      <c r="K39" s="296" t="s">
        <v>401</v>
      </c>
      <c r="L39" s="296" t="s">
        <v>406</v>
      </c>
      <c r="M39" s="296"/>
      <c r="N39" s="296"/>
      <c r="O39" s="296"/>
      <c r="P39" s="296" t="s">
        <v>410</v>
      </c>
    </row>
    <row r="40" spans="1:17" x14ac:dyDescent="0.25">
      <c r="B40" s="258">
        <v>21.67</v>
      </c>
      <c r="C40" s="258">
        <v>50</v>
      </c>
      <c r="D40" s="13">
        <v>3995</v>
      </c>
      <c r="E40" s="307">
        <v>325</v>
      </c>
      <c r="F40" s="309">
        <v>445.76</v>
      </c>
      <c r="G40" s="258">
        <v>3000</v>
      </c>
      <c r="H40" s="309">
        <v>179.25</v>
      </c>
      <c r="I40" s="258">
        <v>138.44999999999999</v>
      </c>
      <c r="J40" s="258">
        <v>238.27</v>
      </c>
      <c r="K40" s="258">
        <v>333.75</v>
      </c>
      <c r="L40" s="307">
        <v>4500</v>
      </c>
      <c r="M40" s="258"/>
      <c r="N40" s="258">
        <v>1400</v>
      </c>
      <c r="O40" s="311">
        <v>3000</v>
      </c>
      <c r="P40" s="258">
        <v>8000</v>
      </c>
      <c r="Q40" s="258" t="s">
        <v>106</v>
      </c>
    </row>
    <row r="41" spans="1:17" x14ac:dyDescent="0.25">
      <c r="B41" s="258">
        <v>21.67</v>
      </c>
      <c r="C41" s="258">
        <v>50</v>
      </c>
      <c r="D41" s="13">
        <v>1996</v>
      </c>
      <c r="E41" s="307">
        <v>325</v>
      </c>
      <c r="F41" s="309"/>
      <c r="G41" s="258"/>
      <c r="H41" s="309"/>
      <c r="I41" s="258">
        <v>56.25</v>
      </c>
      <c r="J41" s="258"/>
      <c r="K41" s="258">
        <v>85.5</v>
      </c>
      <c r="L41" s="307"/>
      <c r="M41" s="258"/>
      <c r="N41" s="258"/>
      <c r="O41" s="311"/>
      <c r="P41" s="258"/>
      <c r="Q41" s="223"/>
    </row>
    <row r="42" spans="1:17" x14ac:dyDescent="0.25">
      <c r="B42" s="258">
        <v>37.4</v>
      </c>
      <c r="C42" s="258">
        <v>50</v>
      </c>
      <c r="D42" s="13">
        <v>2977</v>
      </c>
      <c r="E42" s="307">
        <v>325</v>
      </c>
      <c r="F42" s="309"/>
      <c r="G42" s="258"/>
      <c r="H42" s="309"/>
      <c r="I42" s="258"/>
      <c r="J42" s="258"/>
      <c r="K42" s="258">
        <v>350</v>
      </c>
      <c r="L42" s="307"/>
      <c r="M42" s="258"/>
      <c r="N42" s="258"/>
      <c r="O42" s="311"/>
      <c r="P42" s="258"/>
      <c r="Q42" s="223"/>
    </row>
    <row r="43" spans="1:17" x14ac:dyDescent="0.25">
      <c r="B43" s="258">
        <v>21.67</v>
      </c>
      <c r="C43" s="258">
        <v>50</v>
      </c>
      <c r="D43" s="13">
        <v>1258</v>
      </c>
      <c r="E43" s="307">
        <v>325</v>
      </c>
      <c r="F43" s="309"/>
      <c r="G43" s="258"/>
      <c r="H43" s="309"/>
      <c r="I43" s="258"/>
      <c r="J43" s="258"/>
      <c r="K43" s="258"/>
      <c r="L43" s="307"/>
      <c r="M43" s="258"/>
      <c r="N43" s="258"/>
      <c r="O43" s="311"/>
      <c r="P43" s="258"/>
      <c r="Q43" s="223"/>
    </row>
    <row r="44" spans="1:17" x14ac:dyDescent="0.25">
      <c r="B44" s="258">
        <v>17.34</v>
      </c>
      <c r="C44" s="258">
        <v>50</v>
      </c>
      <c r="D44" s="13">
        <v>1139</v>
      </c>
      <c r="E44" s="307">
        <v>325</v>
      </c>
      <c r="F44" s="309"/>
      <c r="G44" s="258"/>
      <c r="H44" s="309"/>
      <c r="I44" s="258"/>
      <c r="J44" s="258"/>
      <c r="K44" s="258"/>
      <c r="L44" s="307"/>
      <c r="M44" s="258"/>
      <c r="N44" s="258"/>
      <c r="O44" s="311"/>
      <c r="P44" s="258"/>
      <c r="Q44" s="223"/>
    </row>
    <row r="45" spans="1:17" x14ac:dyDescent="0.25">
      <c r="B45" s="258">
        <v>64.69</v>
      </c>
      <c r="C45" s="258">
        <v>50</v>
      </c>
      <c r="D45" s="13">
        <v>3270</v>
      </c>
      <c r="E45" s="307">
        <v>325</v>
      </c>
      <c r="F45" s="309"/>
      <c r="G45" s="258"/>
      <c r="H45" s="309"/>
      <c r="I45" s="258"/>
      <c r="J45" s="258"/>
      <c r="K45" s="258"/>
      <c r="L45" s="307"/>
      <c r="M45" s="258"/>
      <c r="N45" s="258"/>
      <c r="O45" s="311"/>
      <c r="P45" s="258"/>
      <c r="Q45" s="223"/>
    </row>
    <row r="46" spans="1:17" x14ac:dyDescent="0.25">
      <c r="B46" s="258">
        <v>21.67</v>
      </c>
      <c r="C46" s="258">
        <v>50</v>
      </c>
      <c r="D46" s="13">
        <v>1110</v>
      </c>
      <c r="E46" s="307">
        <v>325</v>
      </c>
      <c r="F46" s="309"/>
      <c r="G46" s="258"/>
      <c r="H46" s="309"/>
      <c r="I46" s="258"/>
      <c r="J46" s="258"/>
      <c r="K46" s="258"/>
      <c r="L46" s="307"/>
      <c r="M46" s="258"/>
      <c r="N46" s="258"/>
      <c r="O46" s="311"/>
      <c r="P46" s="258"/>
      <c r="Q46" s="223"/>
    </row>
    <row r="47" spans="1:17" x14ac:dyDescent="0.25">
      <c r="B47" s="258">
        <v>25.57</v>
      </c>
      <c r="C47" s="258">
        <v>50</v>
      </c>
      <c r="D47" s="13">
        <v>4741</v>
      </c>
      <c r="E47" s="307">
        <v>325</v>
      </c>
      <c r="F47" s="309"/>
      <c r="G47" s="258"/>
      <c r="H47" s="309"/>
      <c r="I47" s="258"/>
      <c r="J47" s="258"/>
      <c r="K47" s="258"/>
      <c r="L47" s="307"/>
      <c r="M47" s="258"/>
      <c r="N47" s="258"/>
      <c r="O47" s="311"/>
      <c r="P47" s="258"/>
      <c r="Q47" s="223"/>
    </row>
    <row r="48" spans="1:17" x14ac:dyDescent="0.25">
      <c r="B48" s="258">
        <v>43.02</v>
      </c>
      <c r="C48" s="258">
        <v>50</v>
      </c>
      <c r="D48" s="13">
        <v>1998</v>
      </c>
      <c r="E48" s="307">
        <v>325</v>
      </c>
      <c r="F48" s="309"/>
      <c r="G48" s="258"/>
      <c r="H48" s="309"/>
      <c r="I48" s="258"/>
      <c r="J48" s="258"/>
      <c r="K48" s="258"/>
      <c r="L48" s="307"/>
      <c r="M48" s="258"/>
      <c r="N48" s="258"/>
      <c r="O48" s="311"/>
      <c r="P48" s="258"/>
      <c r="Q48" s="223"/>
    </row>
    <row r="49" spans="2:18" x14ac:dyDescent="0.25">
      <c r="B49" s="258">
        <v>25.57</v>
      </c>
      <c r="C49" s="258">
        <v>50</v>
      </c>
      <c r="D49" s="13">
        <v>3422</v>
      </c>
      <c r="E49" s="307">
        <v>325</v>
      </c>
      <c r="F49" s="309"/>
      <c r="G49" s="258"/>
      <c r="H49" s="309"/>
      <c r="I49" s="258"/>
      <c r="J49" s="258"/>
      <c r="K49" s="258"/>
      <c r="L49" s="307"/>
      <c r="M49" s="258"/>
      <c r="N49" s="258"/>
      <c r="O49" s="311"/>
      <c r="P49" s="258"/>
      <c r="Q49" s="223"/>
    </row>
    <row r="50" spans="2:18" x14ac:dyDescent="0.25">
      <c r="B50" s="258">
        <v>6.63</v>
      </c>
      <c r="C50" s="258">
        <v>50</v>
      </c>
      <c r="D50" s="13"/>
      <c r="E50" s="307">
        <v>325</v>
      </c>
      <c r="F50" s="309"/>
      <c r="G50" s="258"/>
      <c r="H50" s="309"/>
      <c r="I50" s="258"/>
      <c r="J50" s="258"/>
      <c r="K50" s="258"/>
      <c r="L50" s="307"/>
      <c r="M50" s="258"/>
      <c r="N50" s="258"/>
      <c r="O50" s="311"/>
      <c r="P50" s="258"/>
      <c r="Q50" s="223"/>
    </row>
    <row r="51" spans="2:18" x14ac:dyDescent="0.25">
      <c r="B51" s="258">
        <v>25.57</v>
      </c>
      <c r="C51" s="258">
        <v>50</v>
      </c>
      <c r="D51" s="13"/>
      <c r="E51" s="307">
        <v>325</v>
      </c>
      <c r="F51" s="309"/>
      <c r="G51" s="258"/>
      <c r="H51" s="309"/>
      <c r="I51" s="258"/>
      <c r="J51" s="258"/>
      <c r="K51" s="258"/>
      <c r="L51" s="307"/>
      <c r="M51" s="258"/>
      <c r="N51" s="258"/>
      <c r="O51" s="311"/>
      <c r="P51" s="258"/>
      <c r="Q51" s="223"/>
    </row>
    <row r="52" spans="2:18" x14ac:dyDescent="0.25">
      <c r="B52" s="258">
        <v>25.57</v>
      </c>
      <c r="C52" s="258">
        <v>50</v>
      </c>
      <c r="D52" s="13"/>
      <c r="E52" s="307"/>
      <c r="F52" s="309"/>
      <c r="G52" s="258"/>
      <c r="H52" s="309"/>
      <c r="I52" s="258"/>
      <c r="J52" s="258"/>
      <c r="K52" s="258"/>
      <c r="L52" s="307"/>
      <c r="M52" s="258"/>
      <c r="N52" s="258"/>
      <c r="O52" s="311"/>
      <c r="P52" s="258"/>
      <c r="Q52" s="223"/>
    </row>
    <row r="53" spans="2:18" x14ac:dyDescent="0.25">
      <c r="B53" s="223"/>
      <c r="C53" s="258"/>
      <c r="D53" s="13"/>
      <c r="E53" s="307"/>
      <c r="F53" s="309"/>
      <c r="G53" s="258"/>
      <c r="H53" s="309"/>
      <c r="I53" s="258"/>
      <c r="J53" s="258"/>
      <c r="K53" s="258"/>
      <c r="L53" s="307"/>
      <c r="M53" s="258"/>
      <c r="N53" s="258"/>
      <c r="O53" s="311"/>
      <c r="P53" s="258"/>
      <c r="Q53" s="223"/>
    </row>
    <row r="54" spans="2:18" x14ac:dyDescent="0.25">
      <c r="B54" s="223"/>
      <c r="C54" s="258"/>
      <c r="D54" s="13"/>
      <c r="E54" s="307"/>
      <c r="F54" s="309"/>
      <c r="G54" s="258"/>
      <c r="H54" s="309"/>
      <c r="I54" s="258"/>
      <c r="J54" s="258"/>
      <c r="K54" s="258"/>
      <c r="L54" s="307"/>
      <c r="M54" s="258"/>
      <c r="N54" s="258"/>
      <c r="O54" s="311"/>
      <c r="P54" s="258"/>
      <c r="Q54" s="223"/>
    </row>
    <row r="55" spans="2:18" x14ac:dyDescent="0.25">
      <c r="B55" s="223"/>
      <c r="C55" s="258"/>
      <c r="D55" s="13"/>
      <c r="E55" s="307"/>
      <c r="F55" s="309"/>
      <c r="G55" s="258"/>
      <c r="H55" s="309"/>
      <c r="I55" s="258"/>
      <c r="J55" s="258"/>
      <c r="K55" s="258"/>
      <c r="L55" s="307"/>
      <c r="M55" s="258"/>
      <c r="N55" s="258"/>
      <c r="O55" s="311"/>
      <c r="P55" s="258"/>
      <c r="Q55" s="223"/>
    </row>
    <row r="56" spans="2:18" x14ac:dyDescent="0.25">
      <c r="B56" s="223"/>
      <c r="C56" s="223"/>
      <c r="E56" s="306"/>
      <c r="F56" s="308"/>
      <c r="G56" s="223"/>
      <c r="H56" s="308"/>
      <c r="I56" s="223"/>
      <c r="J56" s="223"/>
      <c r="K56" s="223"/>
      <c r="L56" s="306"/>
      <c r="M56" s="223"/>
      <c r="N56" s="223"/>
      <c r="O56" s="310"/>
      <c r="P56" s="223"/>
      <c r="Q56" s="223"/>
    </row>
    <row r="57" spans="2:18" x14ac:dyDescent="0.25">
      <c r="B57" s="258">
        <f t="shared" ref="B57:P57" si="1">SUM(B40:B56)</f>
        <v>358.03999999999996</v>
      </c>
      <c r="C57" s="258">
        <f t="shared" si="1"/>
        <v>650</v>
      </c>
      <c r="D57" s="13">
        <f t="shared" si="1"/>
        <v>25906</v>
      </c>
      <c r="E57" s="307">
        <f t="shared" si="1"/>
        <v>3900</v>
      </c>
      <c r="F57" s="309">
        <f t="shared" si="1"/>
        <v>445.76</v>
      </c>
      <c r="G57" s="258">
        <f t="shared" si="1"/>
        <v>3000</v>
      </c>
      <c r="H57" s="309">
        <f t="shared" si="1"/>
        <v>179.25</v>
      </c>
      <c r="I57" s="258">
        <f t="shared" si="1"/>
        <v>194.7</v>
      </c>
      <c r="J57" s="258">
        <f t="shared" si="1"/>
        <v>238.27</v>
      </c>
      <c r="K57" s="258">
        <f t="shared" si="1"/>
        <v>769.25</v>
      </c>
      <c r="L57" s="307">
        <f t="shared" si="1"/>
        <v>4500</v>
      </c>
      <c r="M57" s="258"/>
      <c r="N57" s="258">
        <f t="shared" si="1"/>
        <v>1400</v>
      </c>
      <c r="O57" s="311">
        <f t="shared" si="1"/>
        <v>3000</v>
      </c>
      <c r="P57" s="258">
        <f t="shared" si="1"/>
        <v>8000</v>
      </c>
      <c r="Q57" s="258">
        <f>SUM(Q40:Q56)</f>
        <v>0</v>
      </c>
      <c r="R57" s="13">
        <f>SUM(B57:Q57)</f>
        <v>52541.27</v>
      </c>
    </row>
    <row r="58" spans="2:18" x14ac:dyDescent="0.25">
      <c r="R58" s="13">
        <f>R57*0.1</f>
        <v>5254.1270000000004</v>
      </c>
    </row>
    <row r="64" spans="2:18" x14ac:dyDescent="0.25">
      <c r="E64" t="s">
        <v>426</v>
      </c>
      <c r="F64" t="s">
        <v>423</v>
      </c>
      <c r="G64" t="s">
        <v>420</v>
      </c>
      <c r="H64" t="s">
        <v>421</v>
      </c>
    </row>
    <row r="65" spans="1:19" x14ac:dyDescent="0.25">
      <c r="E65" s="13">
        <v>36869.160000000003</v>
      </c>
      <c r="F65" s="13">
        <v>71862.14</v>
      </c>
      <c r="G65" s="13">
        <v>57587.16</v>
      </c>
      <c r="H65" s="13">
        <f>R57+R58</f>
        <v>57795.396999999997</v>
      </c>
    </row>
    <row r="70" spans="1:19" ht="18.75" x14ac:dyDescent="0.3">
      <c r="A70" t="s">
        <v>378</v>
      </c>
      <c r="D70" s="295" t="s">
        <v>398</v>
      </c>
    </row>
    <row r="72" spans="1:19" ht="28.5" customHeight="1" x14ac:dyDescent="0.25">
      <c r="B72" s="268" t="s">
        <v>380</v>
      </c>
      <c r="C72" s="268" t="s">
        <v>381</v>
      </c>
      <c r="D72" s="298" t="s">
        <v>412</v>
      </c>
      <c r="E72" s="268" t="s">
        <v>386</v>
      </c>
      <c r="F72" s="268" t="s">
        <v>387</v>
      </c>
      <c r="G72" s="300" t="s">
        <v>411</v>
      </c>
      <c r="H72" s="268" t="s">
        <v>391</v>
      </c>
      <c r="I72" s="268" t="s">
        <v>393</v>
      </c>
      <c r="J72" s="268" t="s">
        <v>395</v>
      </c>
      <c r="K72" s="268" t="s">
        <v>400</v>
      </c>
      <c r="L72" s="297" t="s">
        <v>402</v>
      </c>
      <c r="M72" s="268"/>
      <c r="N72" s="268"/>
      <c r="O72" s="268" t="s">
        <v>295</v>
      </c>
      <c r="P72" s="268" t="s">
        <v>414</v>
      </c>
      <c r="Q72" s="268" t="s">
        <v>415</v>
      </c>
      <c r="R72" s="268" t="s">
        <v>418</v>
      </c>
      <c r="S72" s="268" t="s">
        <v>419</v>
      </c>
    </row>
    <row r="73" spans="1:19" x14ac:dyDescent="0.25">
      <c r="A73" s="225" t="s">
        <v>294</v>
      </c>
      <c r="B73" s="296" t="s">
        <v>382</v>
      </c>
      <c r="C73" s="296" t="s">
        <v>385</v>
      </c>
      <c r="D73" s="296" t="s">
        <v>413</v>
      </c>
      <c r="E73" s="296" t="s">
        <v>407</v>
      </c>
      <c r="F73" s="296" t="s">
        <v>388</v>
      </c>
      <c r="G73" s="296"/>
      <c r="H73" s="296" t="s">
        <v>392</v>
      </c>
      <c r="I73" s="296" t="s">
        <v>417</v>
      </c>
      <c r="J73" s="296"/>
      <c r="K73" s="296" t="s">
        <v>401</v>
      </c>
      <c r="L73" s="296" t="s">
        <v>406</v>
      </c>
      <c r="M73" s="296"/>
      <c r="N73" s="296"/>
      <c r="O73" s="296"/>
      <c r="P73" s="296" t="s">
        <v>422</v>
      </c>
      <c r="Q73" s="296" t="s">
        <v>416</v>
      </c>
      <c r="R73" s="296" t="s">
        <v>425</v>
      </c>
    </row>
    <row r="74" spans="1:19" x14ac:dyDescent="0.25">
      <c r="B74" s="258">
        <v>21.67</v>
      </c>
      <c r="C74" s="258">
        <v>50</v>
      </c>
      <c r="D74" s="258">
        <v>710</v>
      </c>
      <c r="E74" s="307">
        <v>325</v>
      </c>
      <c r="F74" s="309">
        <v>445.76</v>
      </c>
      <c r="G74" s="258">
        <v>2055.4499999999998</v>
      </c>
      <c r="H74" s="309">
        <v>179.25</v>
      </c>
      <c r="I74" s="258">
        <v>105.64</v>
      </c>
      <c r="J74" s="258">
        <v>238.27</v>
      </c>
      <c r="K74" s="258">
        <v>333.75</v>
      </c>
      <c r="L74" s="307">
        <v>4500</v>
      </c>
      <c r="M74" s="258"/>
      <c r="N74" s="13"/>
      <c r="O74" s="311">
        <v>2000</v>
      </c>
      <c r="P74" s="258">
        <v>3173.5</v>
      </c>
      <c r="Q74" s="258">
        <v>300</v>
      </c>
      <c r="R74" s="258">
        <v>260.29000000000002</v>
      </c>
      <c r="S74" s="258">
        <v>87.5</v>
      </c>
    </row>
    <row r="75" spans="1:19" x14ac:dyDescent="0.25">
      <c r="B75" s="258">
        <v>21.67</v>
      </c>
      <c r="C75" s="258">
        <v>50</v>
      </c>
      <c r="D75" s="258"/>
      <c r="E75" s="307">
        <v>325</v>
      </c>
      <c r="F75" s="309"/>
      <c r="G75" s="258">
        <v>1261.1300000000001</v>
      </c>
      <c r="H75" s="309"/>
      <c r="I75" s="258">
        <v>56.25</v>
      </c>
      <c r="J75" s="258"/>
      <c r="K75" s="258">
        <v>85.5</v>
      </c>
      <c r="L75" s="307"/>
      <c r="M75" s="258"/>
      <c r="N75" s="13"/>
      <c r="O75" s="311"/>
      <c r="P75" s="258"/>
      <c r="Q75" s="258"/>
      <c r="R75" s="258"/>
      <c r="S75" s="258"/>
    </row>
    <row r="76" spans="1:19" x14ac:dyDescent="0.25">
      <c r="B76" s="258">
        <v>21.67</v>
      </c>
      <c r="C76" s="258">
        <v>50</v>
      </c>
      <c r="D76" s="258"/>
      <c r="E76" s="307">
        <v>325</v>
      </c>
      <c r="F76" s="309"/>
      <c r="G76" s="258"/>
      <c r="H76" s="309"/>
      <c r="I76" s="258"/>
      <c r="J76" s="258"/>
      <c r="K76" s="258">
        <v>972.5</v>
      </c>
      <c r="L76" s="307"/>
      <c r="M76" s="258"/>
      <c r="N76" s="13"/>
      <c r="O76" s="311"/>
      <c r="P76" s="258"/>
      <c r="Q76" s="258"/>
      <c r="R76" s="258"/>
      <c r="S76" s="258"/>
    </row>
    <row r="77" spans="1:19" x14ac:dyDescent="0.25">
      <c r="B77" s="258">
        <v>17.34</v>
      </c>
      <c r="C77" s="258">
        <v>50</v>
      </c>
      <c r="D77" s="258"/>
      <c r="E77" s="307">
        <v>325</v>
      </c>
      <c r="F77" s="309"/>
      <c r="G77" s="258"/>
      <c r="H77" s="309"/>
      <c r="I77" s="258"/>
      <c r="J77" s="258"/>
      <c r="K77" s="258"/>
      <c r="L77" s="307"/>
      <c r="M77" s="258"/>
      <c r="N77" s="13"/>
      <c r="O77" s="311"/>
      <c r="P77" s="258"/>
      <c r="Q77" s="258"/>
      <c r="R77" s="258"/>
      <c r="S77" s="258"/>
    </row>
    <row r="78" spans="1:19" x14ac:dyDescent="0.25">
      <c r="B78" s="258">
        <v>43.34</v>
      </c>
      <c r="C78" s="258">
        <v>50</v>
      </c>
      <c r="D78" s="258"/>
      <c r="E78" s="307">
        <v>325</v>
      </c>
      <c r="F78" s="309"/>
      <c r="G78" s="258"/>
      <c r="H78" s="309"/>
      <c r="I78" s="258"/>
      <c r="J78" s="258"/>
      <c r="K78" s="258"/>
      <c r="L78" s="307"/>
      <c r="M78" s="258"/>
      <c r="N78" s="13"/>
      <c r="O78" s="311"/>
      <c r="P78" s="258"/>
      <c r="Q78" s="258"/>
      <c r="R78" s="258"/>
      <c r="S78" s="258"/>
    </row>
    <row r="79" spans="1:19" x14ac:dyDescent="0.25">
      <c r="B79" s="258">
        <v>64.69</v>
      </c>
      <c r="C79" s="258">
        <v>50</v>
      </c>
      <c r="D79" s="258"/>
      <c r="E79" s="307">
        <v>325</v>
      </c>
      <c r="F79" s="309"/>
      <c r="G79" s="258"/>
      <c r="H79" s="309"/>
      <c r="I79" s="258"/>
      <c r="J79" s="258"/>
      <c r="K79" s="258"/>
      <c r="L79" s="307"/>
      <c r="M79" s="258"/>
      <c r="N79" s="13"/>
      <c r="O79" s="311"/>
      <c r="P79" s="258"/>
      <c r="Q79" s="258"/>
      <c r="R79" s="258"/>
      <c r="S79" s="258"/>
    </row>
    <row r="80" spans="1:19" x14ac:dyDescent="0.25">
      <c r="B80" s="258">
        <v>21.67</v>
      </c>
      <c r="C80" s="258">
        <v>50</v>
      </c>
      <c r="D80" s="258"/>
      <c r="E80" s="307">
        <v>325</v>
      </c>
      <c r="F80" s="309"/>
      <c r="G80" s="258"/>
      <c r="H80" s="309"/>
      <c r="I80" s="258"/>
      <c r="J80" s="258"/>
      <c r="K80" s="258"/>
      <c r="L80" s="307"/>
      <c r="M80" s="258"/>
      <c r="N80" s="13"/>
      <c r="O80" s="311"/>
      <c r="P80" s="258"/>
      <c r="Q80" s="258"/>
      <c r="R80" s="258"/>
      <c r="S80" s="258"/>
    </row>
    <row r="81" spans="2:22" x14ac:dyDescent="0.25">
      <c r="B81" s="258">
        <v>25.57</v>
      </c>
      <c r="C81" s="258">
        <v>50</v>
      </c>
      <c r="D81" s="258"/>
      <c r="E81" s="307">
        <v>325</v>
      </c>
      <c r="F81" s="309"/>
      <c r="G81" s="258"/>
      <c r="H81" s="309"/>
      <c r="I81" s="258"/>
      <c r="J81" s="258"/>
      <c r="K81" s="258"/>
      <c r="L81" s="307"/>
      <c r="M81" s="258"/>
      <c r="N81" s="13"/>
      <c r="O81" s="311"/>
      <c r="P81" s="258"/>
      <c r="Q81" s="258"/>
      <c r="R81" s="258"/>
      <c r="S81" s="258"/>
    </row>
    <row r="82" spans="2:22" x14ac:dyDescent="0.25">
      <c r="B82" s="258">
        <v>43.02</v>
      </c>
      <c r="C82" s="258">
        <v>50</v>
      </c>
      <c r="D82" s="258"/>
      <c r="E82" s="307">
        <v>325</v>
      </c>
      <c r="F82" s="309"/>
      <c r="G82" s="258"/>
      <c r="H82" s="309"/>
      <c r="I82" s="258"/>
      <c r="J82" s="258"/>
      <c r="K82" s="258"/>
      <c r="L82" s="307"/>
      <c r="M82" s="258"/>
      <c r="N82" s="13"/>
      <c r="O82" s="311"/>
      <c r="P82" s="258"/>
      <c r="Q82" s="258"/>
      <c r="R82" s="258"/>
      <c r="S82" s="258"/>
    </row>
    <row r="83" spans="2:22" x14ac:dyDescent="0.25">
      <c r="B83" s="258">
        <v>25.57</v>
      </c>
      <c r="C83" s="258">
        <v>50</v>
      </c>
      <c r="D83" s="258"/>
      <c r="E83" s="307">
        <v>325</v>
      </c>
      <c r="F83" s="309"/>
      <c r="G83" s="258"/>
      <c r="H83" s="309"/>
      <c r="I83" s="258"/>
      <c r="J83" s="258"/>
      <c r="K83" s="258"/>
      <c r="L83" s="307"/>
      <c r="M83" s="258"/>
      <c r="N83" s="13"/>
      <c r="O83" s="311"/>
      <c r="P83" s="258"/>
      <c r="Q83" s="258"/>
      <c r="R83" s="258"/>
      <c r="S83" s="258"/>
    </row>
    <row r="84" spans="2:22" x14ac:dyDescent="0.25">
      <c r="B84" s="258">
        <v>6.62</v>
      </c>
      <c r="C84" s="258">
        <v>50</v>
      </c>
      <c r="D84" s="258"/>
      <c r="E84" s="307">
        <v>325</v>
      </c>
      <c r="F84" s="309"/>
      <c r="G84" s="258"/>
      <c r="H84" s="309"/>
      <c r="I84" s="258"/>
      <c r="J84" s="258"/>
      <c r="K84" s="258"/>
      <c r="L84" s="307"/>
      <c r="M84" s="258"/>
      <c r="N84" s="13"/>
      <c r="O84" s="311"/>
      <c r="P84" s="258"/>
      <c r="Q84" s="258"/>
      <c r="R84" s="258"/>
      <c r="S84" s="258"/>
    </row>
    <row r="85" spans="2:22" x14ac:dyDescent="0.25">
      <c r="B85" s="258">
        <v>25.57</v>
      </c>
      <c r="C85" s="258">
        <v>50</v>
      </c>
      <c r="D85" s="258"/>
      <c r="E85" s="307">
        <v>325</v>
      </c>
      <c r="F85" s="309"/>
      <c r="G85" s="258"/>
      <c r="H85" s="309"/>
      <c r="I85" s="258"/>
      <c r="J85" s="258"/>
      <c r="K85" s="258"/>
      <c r="L85" s="307"/>
      <c r="M85" s="258"/>
      <c r="N85" s="13"/>
      <c r="O85" s="311"/>
      <c r="P85" s="258"/>
      <c r="Q85" s="258"/>
      <c r="R85" s="258"/>
      <c r="S85" s="258"/>
    </row>
    <row r="86" spans="2:22" x14ac:dyDescent="0.25">
      <c r="B86" s="258">
        <v>25.57</v>
      </c>
      <c r="C86" s="258">
        <v>50</v>
      </c>
      <c r="D86" s="258"/>
      <c r="E86" s="307"/>
      <c r="F86" s="309"/>
      <c r="G86" s="258"/>
      <c r="H86" s="309"/>
      <c r="I86" s="258"/>
      <c r="J86" s="258"/>
      <c r="K86" s="258"/>
      <c r="L86" s="307"/>
      <c r="M86" s="258"/>
      <c r="N86" s="13"/>
      <c r="O86" s="311"/>
      <c r="P86" s="258"/>
      <c r="Q86" s="258"/>
      <c r="R86" s="258"/>
      <c r="S86" s="258"/>
    </row>
    <row r="87" spans="2:22" x14ac:dyDescent="0.25">
      <c r="B87" s="258"/>
      <c r="C87" s="258"/>
      <c r="D87" s="258"/>
      <c r="E87" s="307"/>
      <c r="F87" s="309"/>
      <c r="G87" s="258"/>
      <c r="H87" s="309"/>
      <c r="I87" s="258"/>
      <c r="J87" s="258"/>
      <c r="K87" s="258"/>
      <c r="L87" s="307"/>
      <c r="M87" s="258"/>
      <c r="N87" s="13"/>
      <c r="O87" s="311"/>
      <c r="P87" s="258"/>
      <c r="Q87" s="258"/>
      <c r="R87" s="258"/>
      <c r="S87" s="258"/>
    </row>
    <row r="88" spans="2:22" x14ac:dyDescent="0.25">
      <c r="B88" s="258"/>
      <c r="C88" s="258"/>
      <c r="D88" s="258"/>
      <c r="E88" s="307"/>
      <c r="F88" s="309"/>
      <c r="G88" s="258"/>
      <c r="H88" s="309"/>
      <c r="I88" s="258"/>
      <c r="J88" s="258"/>
      <c r="K88" s="258"/>
      <c r="L88" s="307"/>
      <c r="M88" s="258"/>
      <c r="N88" s="13"/>
      <c r="O88" s="311"/>
      <c r="P88" s="258"/>
      <c r="Q88" s="258"/>
      <c r="R88" s="258"/>
      <c r="S88" s="258"/>
    </row>
    <row r="89" spans="2:22" x14ac:dyDescent="0.25">
      <c r="B89" s="258"/>
      <c r="C89" s="258"/>
      <c r="D89" s="258"/>
      <c r="E89" s="307"/>
      <c r="F89" s="309"/>
      <c r="G89" s="258"/>
      <c r="H89" s="309"/>
      <c r="I89" s="258"/>
      <c r="J89" s="258"/>
      <c r="K89" s="258"/>
      <c r="L89" s="307"/>
      <c r="M89" s="258"/>
      <c r="N89" s="13"/>
      <c r="O89" s="311"/>
      <c r="P89" s="258"/>
      <c r="Q89" s="258"/>
      <c r="R89" s="258"/>
      <c r="S89" s="258"/>
    </row>
    <row r="90" spans="2:22" x14ac:dyDescent="0.25">
      <c r="B90" s="258"/>
      <c r="C90" s="258"/>
      <c r="D90" s="258"/>
      <c r="E90" s="307"/>
      <c r="F90" s="309"/>
      <c r="G90" s="258"/>
      <c r="H90" s="309"/>
      <c r="I90" s="258"/>
      <c r="J90" s="258"/>
      <c r="K90" s="258"/>
      <c r="L90" s="307"/>
      <c r="M90" s="258"/>
      <c r="N90" s="13"/>
      <c r="O90" s="311"/>
      <c r="P90" s="258"/>
      <c r="Q90" s="258"/>
      <c r="R90" s="258"/>
      <c r="S90" s="258"/>
    </row>
    <row r="91" spans="2:22" x14ac:dyDescent="0.25">
      <c r="B91" s="258"/>
      <c r="C91" s="258"/>
      <c r="D91" s="258"/>
      <c r="E91" s="307"/>
      <c r="F91" s="309"/>
      <c r="G91" s="258"/>
      <c r="H91" s="309"/>
      <c r="I91" s="258"/>
      <c r="J91" s="258"/>
      <c r="K91" s="258"/>
      <c r="L91" s="307"/>
      <c r="M91" s="258"/>
      <c r="N91" s="13"/>
      <c r="O91" s="311"/>
      <c r="P91" s="258"/>
      <c r="Q91" s="258"/>
      <c r="R91" s="258"/>
      <c r="S91" s="258"/>
    </row>
    <row r="92" spans="2:22" x14ac:dyDescent="0.25">
      <c r="B92" s="258"/>
      <c r="C92" s="258"/>
      <c r="D92" s="258"/>
      <c r="E92" s="307"/>
      <c r="F92" s="309"/>
      <c r="G92" s="258"/>
      <c r="H92" s="309"/>
      <c r="I92" s="258"/>
      <c r="J92" s="258"/>
      <c r="K92" s="258"/>
      <c r="L92" s="307"/>
      <c r="M92" s="258"/>
      <c r="N92" s="13"/>
      <c r="O92" s="311"/>
      <c r="P92" s="258"/>
      <c r="Q92" s="258"/>
      <c r="R92" s="258"/>
      <c r="S92" s="258"/>
    </row>
    <row r="93" spans="2:22" x14ac:dyDescent="0.25">
      <c r="B93" s="258"/>
      <c r="C93" s="258"/>
      <c r="D93" s="258"/>
      <c r="E93" s="307"/>
      <c r="F93" s="309"/>
      <c r="G93" s="258"/>
      <c r="H93" s="309"/>
      <c r="I93" s="258"/>
      <c r="J93" s="258"/>
      <c r="K93" s="258"/>
      <c r="L93" s="307"/>
      <c r="M93" s="258"/>
      <c r="N93" s="13"/>
      <c r="O93" s="311"/>
      <c r="P93" s="258"/>
      <c r="Q93" s="258"/>
      <c r="R93" s="258"/>
      <c r="S93" s="258"/>
    </row>
    <row r="94" spans="2:22" x14ac:dyDescent="0.25">
      <c r="B94" s="258"/>
      <c r="C94" s="258"/>
      <c r="D94" s="258"/>
      <c r="E94" s="307"/>
      <c r="F94" s="309"/>
      <c r="G94" s="258"/>
      <c r="H94" s="309"/>
      <c r="I94" s="258"/>
      <c r="J94" s="258"/>
      <c r="K94" s="258"/>
      <c r="L94" s="307"/>
      <c r="M94" s="258"/>
      <c r="N94" s="13"/>
      <c r="O94" s="311"/>
      <c r="P94" s="258"/>
      <c r="Q94" s="258"/>
      <c r="R94" s="258"/>
      <c r="S94" s="258"/>
    </row>
    <row r="95" spans="2:22" x14ac:dyDescent="0.25">
      <c r="B95" s="258">
        <f t="shared" ref="B95:M95" si="2">SUM(B74:B94)</f>
        <v>363.96999999999997</v>
      </c>
      <c r="C95" s="258">
        <f t="shared" si="2"/>
        <v>650</v>
      </c>
      <c r="D95" s="258">
        <f t="shared" si="2"/>
        <v>710</v>
      </c>
      <c r="E95" s="307">
        <f t="shared" si="2"/>
        <v>3900</v>
      </c>
      <c r="F95" s="309">
        <f t="shared" si="2"/>
        <v>445.76</v>
      </c>
      <c r="G95" s="258">
        <f t="shared" si="2"/>
        <v>3316.58</v>
      </c>
      <c r="H95" s="309">
        <f t="shared" si="2"/>
        <v>179.25</v>
      </c>
      <c r="I95" s="258">
        <f t="shared" si="2"/>
        <v>161.88999999999999</v>
      </c>
      <c r="J95" s="258">
        <f t="shared" si="2"/>
        <v>238.27</v>
      </c>
      <c r="K95" s="258">
        <f t="shared" si="2"/>
        <v>1391.75</v>
      </c>
      <c r="L95" s="307">
        <f t="shared" si="2"/>
        <v>4500</v>
      </c>
      <c r="M95" s="258">
        <f t="shared" si="2"/>
        <v>0</v>
      </c>
      <c r="N95" s="13"/>
      <c r="O95" s="311">
        <f>SUM(O74:O94)</f>
        <v>2000</v>
      </c>
      <c r="P95" s="258">
        <f>SUM(P74:P94)</f>
        <v>3173.5</v>
      </c>
      <c r="Q95" s="258">
        <f>SUM(Q74:Q94)</f>
        <v>300</v>
      </c>
      <c r="R95" s="258">
        <f>SUM(R74:R94)</f>
        <v>260.29000000000002</v>
      </c>
      <c r="S95" s="258">
        <f>SUM(S74:S94)</f>
        <v>87.5</v>
      </c>
      <c r="V95" s="13">
        <f>SUM(B95:U95)</f>
        <v>21678.760000000002</v>
      </c>
    </row>
    <row r="96" spans="2:22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V96" s="13">
        <f>V95*0.1</f>
        <v>2167.8760000000002</v>
      </c>
    </row>
    <row r="97" spans="1:19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x14ac:dyDescent="0.25">
      <c r="B98" s="13"/>
      <c r="C98" s="13"/>
      <c r="D98" s="13"/>
      <c r="E98" t="s">
        <v>424</v>
      </c>
      <c r="F98" t="s">
        <v>423</v>
      </c>
      <c r="G98" t="s">
        <v>420</v>
      </c>
      <c r="H98" t="s">
        <v>421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x14ac:dyDescent="0.25">
      <c r="B99" s="13"/>
      <c r="C99" s="13"/>
      <c r="D99" s="13"/>
      <c r="E99" s="13">
        <v>47297.66</v>
      </c>
      <c r="F99" s="13">
        <v>59268.26</v>
      </c>
      <c r="G99" s="13">
        <v>18492.41</v>
      </c>
      <c r="H99" s="13">
        <f>V95+V96</f>
        <v>23846.636000000002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4" spans="1:19" ht="18.75" x14ac:dyDescent="0.3">
      <c r="A104" t="s">
        <v>378</v>
      </c>
      <c r="D104" s="295" t="s">
        <v>399</v>
      </c>
    </row>
    <row r="106" spans="1:19" ht="30" customHeight="1" x14ac:dyDescent="0.25">
      <c r="B106" s="268" t="s">
        <v>380</v>
      </c>
      <c r="C106" s="268" t="s">
        <v>381</v>
      </c>
      <c r="D106" s="268"/>
      <c r="E106" s="268" t="s">
        <v>386</v>
      </c>
      <c r="F106" s="268" t="s">
        <v>387</v>
      </c>
      <c r="G106" s="268" t="s">
        <v>414</v>
      </c>
      <c r="H106" s="268" t="s">
        <v>391</v>
      </c>
      <c r="I106" s="268" t="s">
        <v>393</v>
      </c>
      <c r="J106" s="268" t="s">
        <v>395</v>
      </c>
      <c r="K106" s="268" t="s">
        <v>400</v>
      </c>
      <c r="L106" s="268" t="s">
        <v>402</v>
      </c>
      <c r="M106" s="268"/>
      <c r="N106" s="268"/>
      <c r="O106" s="268" t="s">
        <v>295</v>
      </c>
      <c r="P106" s="268"/>
    </row>
    <row r="107" spans="1:19" x14ac:dyDescent="0.25">
      <c r="A107" s="225" t="s">
        <v>294</v>
      </c>
      <c r="B107" s="296" t="s">
        <v>382</v>
      </c>
      <c r="C107" s="296" t="s">
        <v>385</v>
      </c>
      <c r="D107" s="296"/>
      <c r="E107" s="296" t="s">
        <v>407</v>
      </c>
      <c r="F107" s="296" t="s">
        <v>388</v>
      </c>
      <c r="G107" s="296" t="s">
        <v>422</v>
      </c>
      <c r="H107" s="296" t="s">
        <v>392</v>
      </c>
      <c r="I107" s="296" t="s">
        <v>394</v>
      </c>
      <c r="J107" s="296"/>
      <c r="K107" s="296" t="s">
        <v>401</v>
      </c>
      <c r="L107" s="296" t="s">
        <v>406</v>
      </c>
      <c r="M107" s="296"/>
      <c r="N107" s="296"/>
      <c r="O107" s="296"/>
      <c r="P107" s="296"/>
    </row>
    <row r="108" spans="1:19" x14ac:dyDescent="0.25">
      <c r="B108" s="258">
        <v>21.67</v>
      </c>
      <c r="C108" s="258">
        <v>50</v>
      </c>
      <c r="D108" s="13"/>
      <c r="E108" s="307">
        <v>325</v>
      </c>
      <c r="F108" s="307">
        <v>445.76</v>
      </c>
      <c r="G108" s="258">
        <v>3173.5</v>
      </c>
      <c r="H108" s="307">
        <v>179.25</v>
      </c>
      <c r="I108" s="258">
        <v>138.44999999999999</v>
      </c>
      <c r="J108" s="258">
        <v>238.27</v>
      </c>
      <c r="K108" s="258">
        <v>333.75</v>
      </c>
      <c r="L108" s="258">
        <v>4500</v>
      </c>
      <c r="M108" s="258"/>
      <c r="N108" s="13"/>
      <c r="O108" s="311">
        <v>8000</v>
      </c>
      <c r="P108" s="13"/>
      <c r="Q108" s="13"/>
    </row>
    <row r="109" spans="1:19" x14ac:dyDescent="0.25">
      <c r="B109" s="258">
        <v>21.67</v>
      </c>
      <c r="C109" s="258">
        <v>50</v>
      </c>
      <c r="D109" s="13"/>
      <c r="E109" s="307">
        <v>325</v>
      </c>
      <c r="F109" s="307"/>
      <c r="G109" s="258"/>
      <c r="H109" s="307"/>
      <c r="I109" s="258"/>
      <c r="J109" s="258"/>
      <c r="K109" s="258">
        <v>85.5</v>
      </c>
      <c r="L109" s="258"/>
      <c r="M109" s="258"/>
      <c r="N109" s="13"/>
      <c r="O109" s="311"/>
      <c r="P109" s="13"/>
      <c r="Q109" s="13"/>
    </row>
    <row r="110" spans="1:19" x14ac:dyDescent="0.25">
      <c r="B110" s="258">
        <v>37.409999999999997</v>
      </c>
      <c r="C110" s="258">
        <v>50</v>
      </c>
      <c r="D110" s="13"/>
      <c r="E110" s="307">
        <v>325</v>
      </c>
      <c r="F110" s="307"/>
      <c r="G110" s="258"/>
      <c r="H110" s="307"/>
      <c r="I110" s="258"/>
      <c r="J110" s="258"/>
      <c r="K110" s="258">
        <v>597.5</v>
      </c>
      <c r="L110" s="258"/>
      <c r="M110" s="258"/>
      <c r="N110" s="13"/>
      <c r="O110" s="311"/>
      <c r="P110" s="13"/>
      <c r="Q110" s="13"/>
    </row>
    <row r="111" spans="1:19" x14ac:dyDescent="0.25">
      <c r="B111" s="258">
        <v>21.67</v>
      </c>
      <c r="C111" s="258">
        <v>50</v>
      </c>
      <c r="D111" s="13"/>
      <c r="E111" s="307">
        <v>325</v>
      </c>
      <c r="F111" s="307"/>
      <c r="G111" s="258"/>
      <c r="H111" s="307"/>
      <c r="I111" s="258"/>
      <c r="J111" s="258"/>
      <c r="K111" s="258"/>
      <c r="L111" s="258"/>
      <c r="M111" s="258"/>
      <c r="N111" s="13"/>
      <c r="O111" s="311"/>
      <c r="P111" s="13"/>
      <c r="Q111" s="13"/>
    </row>
    <row r="112" spans="1:19" x14ac:dyDescent="0.25">
      <c r="B112" s="258">
        <v>17.32</v>
      </c>
      <c r="C112" s="258">
        <v>50</v>
      </c>
      <c r="D112" s="13"/>
      <c r="E112" s="307">
        <v>325</v>
      </c>
      <c r="F112" s="307"/>
      <c r="G112" s="258"/>
      <c r="H112" s="307"/>
      <c r="I112" s="258"/>
      <c r="J112" s="258"/>
      <c r="K112" s="258"/>
      <c r="L112" s="258"/>
      <c r="M112" s="258"/>
      <c r="N112" s="13"/>
      <c r="O112" s="311"/>
      <c r="P112" s="13"/>
      <c r="Q112" s="13"/>
    </row>
    <row r="113" spans="2:17" x14ac:dyDescent="0.25">
      <c r="B113" s="258">
        <v>43.34</v>
      </c>
      <c r="C113" s="258">
        <v>50</v>
      </c>
      <c r="D113" s="13"/>
      <c r="E113" s="307">
        <v>325</v>
      </c>
      <c r="F113" s="307"/>
      <c r="G113" s="258"/>
      <c r="H113" s="307"/>
      <c r="I113" s="258"/>
      <c r="J113" s="258"/>
      <c r="K113" s="258"/>
      <c r="L113" s="258"/>
      <c r="M113" s="258"/>
      <c r="N113" s="13"/>
      <c r="O113" s="311"/>
      <c r="P113" s="13"/>
      <c r="Q113" s="13"/>
    </row>
    <row r="114" spans="2:17" x14ac:dyDescent="0.25">
      <c r="B114" s="258">
        <v>64.69</v>
      </c>
      <c r="C114" s="258">
        <v>50</v>
      </c>
      <c r="D114" s="13"/>
      <c r="E114" s="307">
        <v>325</v>
      </c>
      <c r="F114" s="307"/>
      <c r="G114" s="258"/>
      <c r="H114" s="307"/>
      <c r="I114" s="258"/>
      <c r="J114" s="258"/>
      <c r="K114" s="258"/>
      <c r="L114" s="258"/>
      <c r="M114" s="258"/>
      <c r="N114" s="13"/>
      <c r="O114" s="311"/>
      <c r="P114" s="13"/>
      <c r="Q114" s="13"/>
    </row>
    <row r="115" spans="2:17" x14ac:dyDescent="0.25">
      <c r="B115" s="258"/>
      <c r="C115" s="258">
        <v>50</v>
      </c>
      <c r="D115" s="13"/>
      <c r="E115" s="307">
        <v>325</v>
      </c>
      <c r="F115" s="307"/>
      <c r="G115" s="258"/>
      <c r="H115" s="307"/>
      <c r="I115" s="258"/>
      <c r="J115" s="258"/>
      <c r="K115" s="258"/>
      <c r="L115" s="258"/>
      <c r="M115" s="258"/>
      <c r="N115" s="13"/>
      <c r="O115" s="311"/>
      <c r="P115" s="13"/>
      <c r="Q115" s="13"/>
    </row>
    <row r="116" spans="2:17" x14ac:dyDescent="0.25">
      <c r="B116" s="258"/>
      <c r="C116" s="258">
        <v>50</v>
      </c>
      <c r="D116" s="13"/>
      <c r="E116" s="307">
        <v>325</v>
      </c>
      <c r="F116" s="307"/>
      <c r="G116" s="258"/>
      <c r="H116" s="307"/>
      <c r="I116" s="258"/>
      <c r="J116" s="258"/>
      <c r="K116" s="258"/>
      <c r="L116" s="258"/>
      <c r="M116" s="258"/>
      <c r="N116" s="13"/>
      <c r="O116" s="311"/>
      <c r="P116" s="13"/>
      <c r="Q116" s="13"/>
    </row>
    <row r="117" spans="2:17" x14ac:dyDescent="0.25">
      <c r="B117" s="258"/>
      <c r="C117" s="258">
        <v>50</v>
      </c>
      <c r="D117" s="13"/>
      <c r="E117" s="307">
        <v>325</v>
      </c>
      <c r="F117" s="307"/>
      <c r="G117" s="258"/>
      <c r="H117" s="307"/>
      <c r="I117" s="258"/>
      <c r="J117" s="258"/>
      <c r="K117" s="258"/>
      <c r="L117" s="258"/>
      <c r="M117" s="258"/>
      <c r="N117" s="13"/>
      <c r="O117" s="311"/>
      <c r="P117" s="13"/>
      <c r="Q117" s="13"/>
    </row>
    <row r="118" spans="2:17" x14ac:dyDescent="0.25">
      <c r="B118" s="258"/>
      <c r="C118" s="258">
        <v>50</v>
      </c>
      <c r="D118" s="13"/>
      <c r="E118" s="307">
        <v>325</v>
      </c>
      <c r="F118" s="307"/>
      <c r="G118" s="258"/>
      <c r="H118" s="307"/>
      <c r="I118" s="258"/>
      <c r="J118" s="258"/>
      <c r="K118" s="258"/>
      <c r="L118" s="258"/>
      <c r="M118" s="258"/>
      <c r="N118" s="13"/>
      <c r="O118" s="311"/>
      <c r="P118" s="13"/>
      <c r="Q118" s="13"/>
    </row>
    <row r="119" spans="2:17" x14ac:dyDescent="0.25">
      <c r="B119" s="258"/>
      <c r="C119" s="258">
        <v>50</v>
      </c>
      <c r="D119" s="13"/>
      <c r="E119" s="307">
        <v>325</v>
      </c>
      <c r="F119" s="307"/>
      <c r="G119" s="258"/>
      <c r="H119" s="307"/>
      <c r="I119" s="258"/>
      <c r="J119" s="258"/>
      <c r="K119" s="258"/>
      <c r="L119" s="258"/>
      <c r="M119" s="258"/>
      <c r="N119" s="13"/>
      <c r="O119" s="311"/>
      <c r="P119" s="13"/>
      <c r="Q119" s="13"/>
    </row>
    <row r="120" spans="2:17" x14ac:dyDescent="0.25">
      <c r="B120" s="258"/>
      <c r="C120" s="258">
        <v>50</v>
      </c>
      <c r="D120" s="13"/>
      <c r="E120" s="307"/>
      <c r="F120" s="307"/>
      <c r="G120" s="258"/>
      <c r="H120" s="307"/>
      <c r="I120" s="258"/>
      <c r="J120" s="258"/>
      <c r="K120" s="258"/>
      <c r="L120" s="258"/>
      <c r="M120" s="258"/>
      <c r="N120" s="13"/>
      <c r="O120" s="311"/>
      <c r="P120" s="13"/>
      <c r="Q120" s="13"/>
    </row>
    <row r="121" spans="2:17" x14ac:dyDescent="0.25">
      <c r="B121" s="258"/>
      <c r="C121" s="258"/>
      <c r="D121" s="13"/>
      <c r="E121" s="309"/>
      <c r="F121" s="307"/>
      <c r="G121" s="258"/>
      <c r="H121" s="307"/>
      <c r="I121" s="258"/>
      <c r="J121" s="258"/>
      <c r="K121" s="258"/>
      <c r="L121" s="258"/>
      <c r="M121" s="258"/>
      <c r="N121" s="13"/>
      <c r="O121" s="311"/>
      <c r="P121" s="13"/>
      <c r="Q121" s="13"/>
    </row>
    <row r="122" spans="2:17" x14ac:dyDescent="0.25">
      <c r="B122" s="258"/>
      <c r="C122" s="258"/>
      <c r="D122" s="13"/>
      <c r="E122" s="309"/>
      <c r="F122" s="307"/>
      <c r="G122" s="258"/>
      <c r="H122" s="307"/>
      <c r="I122" s="258"/>
      <c r="J122" s="258"/>
      <c r="K122" s="258"/>
      <c r="L122" s="258"/>
      <c r="M122" s="258"/>
      <c r="N122" s="13"/>
      <c r="O122" s="311"/>
      <c r="P122" s="13"/>
      <c r="Q122" s="13"/>
    </row>
    <row r="123" spans="2:17" x14ac:dyDescent="0.25">
      <c r="B123" s="258"/>
      <c r="C123" s="258"/>
      <c r="D123" s="13"/>
      <c r="E123" s="309"/>
      <c r="F123" s="307"/>
      <c r="G123" s="258"/>
      <c r="H123" s="307"/>
      <c r="I123" s="258"/>
      <c r="J123" s="258"/>
      <c r="K123" s="258"/>
      <c r="L123" s="258"/>
      <c r="M123" s="258"/>
      <c r="N123" s="13"/>
      <c r="O123" s="311"/>
      <c r="P123" s="13"/>
      <c r="Q123" s="13"/>
    </row>
    <row r="124" spans="2:17" x14ac:dyDescent="0.25">
      <c r="B124" s="258"/>
      <c r="C124" s="258"/>
      <c r="D124" s="13"/>
      <c r="E124" s="309"/>
      <c r="F124" s="307"/>
      <c r="G124" s="258"/>
      <c r="H124" s="307"/>
      <c r="I124" s="258"/>
      <c r="J124" s="258"/>
      <c r="K124" s="258"/>
      <c r="L124" s="258"/>
      <c r="M124" s="258"/>
      <c r="N124" s="13"/>
      <c r="O124" s="311"/>
      <c r="P124" s="13"/>
      <c r="Q124" s="13"/>
    </row>
    <row r="125" spans="2:17" x14ac:dyDescent="0.25">
      <c r="B125" s="258"/>
      <c r="C125" s="258"/>
      <c r="D125" s="13"/>
      <c r="E125" s="309"/>
      <c r="F125" s="307"/>
      <c r="G125" s="258"/>
      <c r="H125" s="307"/>
      <c r="I125" s="258"/>
      <c r="J125" s="258"/>
      <c r="K125" s="258"/>
      <c r="L125" s="258"/>
      <c r="M125" s="258"/>
      <c r="N125" s="13"/>
      <c r="O125" s="311"/>
      <c r="P125" s="13"/>
      <c r="Q125" s="13"/>
    </row>
    <row r="126" spans="2:17" x14ac:dyDescent="0.25">
      <c r="B126" s="258"/>
      <c r="C126" s="258"/>
      <c r="D126" s="13"/>
      <c r="E126" s="309"/>
      <c r="F126" s="307"/>
      <c r="G126" s="258"/>
      <c r="H126" s="307"/>
      <c r="I126" s="258"/>
      <c r="J126" s="258"/>
      <c r="K126" s="258"/>
      <c r="L126" s="258"/>
      <c r="M126" s="258"/>
      <c r="N126" s="13"/>
      <c r="O126" s="311"/>
      <c r="P126" s="13"/>
      <c r="Q126" s="13"/>
    </row>
    <row r="127" spans="2:17" x14ac:dyDescent="0.25">
      <c r="B127" s="258">
        <f>SUM(B108:B126)</f>
        <v>227.77</v>
      </c>
      <c r="C127" s="258">
        <f>SUM(C108:C126)</f>
        <v>650</v>
      </c>
      <c r="D127" s="13"/>
      <c r="E127" s="309">
        <f t="shared" ref="E127:M127" si="3">SUM(E108:E126)</f>
        <v>3900</v>
      </c>
      <c r="F127" s="307">
        <f t="shared" si="3"/>
        <v>445.76</v>
      </c>
      <c r="G127" s="258">
        <f t="shared" si="3"/>
        <v>3173.5</v>
      </c>
      <c r="H127" s="307">
        <f t="shared" si="3"/>
        <v>179.25</v>
      </c>
      <c r="I127" s="258">
        <f t="shared" si="3"/>
        <v>138.44999999999999</v>
      </c>
      <c r="J127" s="258">
        <f t="shared" si="3"/>
        <v>238.27</v>
      </c>
      <c r="K127" s="258">
        <f t="shared" si="3"/>
        <v>1016.75</v>
      </c>
      <c r="L127" s="258">
        <f t="shared" si="3"/>
        <v>4500</v>
      </c>
      <c r="M127" s="258">
        <f t="shared" si="3"/>
        <v>0</v>
      </c>
      <c r="N127" s="13"/>
      <c r="O127" s="311">
        <f>SUM(O108:O126)</f>
        <v>8000</v>
      </c>
      <c r="P127" s="258">
        <f>SUM(B127:O127)</f>
        <v>22469.75</v>
      </c>
      <c r="Q127" s="13"/>
    </row>
    <row r="128" spans="2:17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258">
        <f>P127*0.1</f>
        <v>2246.9749999999999</v>
      </c>
      <c r="Q128" s="13"/>
    </row>
    <row r="129" spans="3:17" x14ac:dyDescent="0.25">
      <c r="O129" s="13"/>
      <c r="P129" s="258"/>
      <c r="Q129" s="13"/>
    </row>
    <row r="130" spans="3:17" x14ac:dyDescent="0.25">
      <c r="C130" t="s">
        <v>424</v>
      </c>
      <c r="D130" t="s">
        <v>423</v>
      </c>
      <c r="E130" t="s">
        <v>420</v>
      </c>
      <c r="F130" t="s">
        <v>421</v>
      </c>
      <c r="O130" s="13"/>
      <c r="P130" s="13"/>
      <c r="Q130" s="13"/>
    </row>
    <row r="131" spans="3:17" x14ac:dyDescent="0.25">
      <c r="C131" s="13">
        <v>0</v>
      </c>
      <c r="D131" s="13">
        <v>15325.31</v>
      </c>
      <c r="E131" s="13">
        <v>18562.37</v>
      </c>
      <c r="F131" s="13">
        <f>P127+P128</f>
        <v>24716.724999999999</v>
      </c>
      <c r="O131" s="13"/>
      <c r="P131" s="13"/>
      <c r="Q131" s="13"/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29"/>
  <sheetViews>
    <sheetView workbookViewId="0">
      <selection activeCell="E12" sqref="E12"/>
    </sheetView>
  </sheetViews>
  <sheetFormatPr defaultRowHeight="15" x14ac:dyDescent="0.25"/>
  <cols>
    <col min="1" max="1" width="15.7109375" customWidth="1"/>
    <col min="2" max="3" width="13" customWidth="1"/>
    <col min="4" max="4" width="15.140625" customWidth="1"/>
    <col min="5" max="5" width="17.140625" customWidth="1"/>
  </cols>
  <sheetData>
    <row r="1" spans="1:5" x14ac:dyDescent="0.25">
      <c r="A1" t="s">
        <v>374</v>
      </c>
    </row>
    <row r="2" spans="1:5" x14ac:dyDescent="0.25">
      <c r="A2" s="263"/>
    </row>
    <row r="3" spans="1:5" x14ac:dyDescent="0.25">
      <c r="B3">
        <v>200</v>
      </c>
      <c r="C3">
        <v>300</v>
      </c>
      <c r="D3">
        <v>400</v>
      </c>
      <c r="E3">
        <v>600</v>
      </c>
    </row>
    <row r="4" spans="1:5" x14ac:dyDescent="0.25">
      <c r="A4" t="s">
        <v>302</v>
      </c>
    </row>
    <row r="5" spans="1:5" x14ac:dyDescent="0.25">
      <c r="A5" t="s">
        <v>194</v>
      </c>
      <c r="B5" s="2">
        <f>'Operational Expense'!C31</f>
        <v>0</v>
      </c>
      <c r="C5" s="2">
        <f>'Operational Expense'!C98</f>
        <v>0</v>
      </c>
      <c r="D5">
        <f>'Operational Expense'!C170</f>
        <v>0</v>
      </c>
      <c r="E5" s="13">
        <f>'Operational Expense'!C231</f>
        <v>0</v>
      </c>
    </row>
    <row r="6" spans="1:5" x14ac:dyDescent="0.25">
      <c r="A6" t="s">
        <v>303</v>
      </c>
    </row>
    <row r="7" spans="1:5" x14ac:dyDescent="0.25">
      <c r="A7" t="s">
        <v>304</v>
      </c>
    </row>
    <row r="8" spans="1:5" x14ac:dyDescent="0.25">
      <c r="A8" t="s">
        <v>305</v>
      </c>
    </row>
    <row r="9" spans="1:5" x14ac:dyDescent="0.25">
      <c r="A9" t="s">
        <v>306</v>
      </c>
    </row>
    <row r="10" spans="1:5" x14ac:dyDescent="0.25">
      <c r="A10" t="s">
        <v>307</v>
      </c>
    </row>
    <row r="11" spans="1:5" x14ac:dyDescent="0.25">
      <c r="A11" t="s">
        <v>308</v>
      </c>
    </row>
    <row r="12" spans="1:5" x14ac:dyDescent="0.25">
      <c r="A12" t="s">
        <v>309</v>
      </c>
    </row>
    <row r="13" spans="1:5" x14ac:dyDescent="0.25">
      <c r="A13" t="s">
        <v>310</v>
      </c>
    </row>
    <row r="14" spans="1:5" x14ac:dyDescent="0.25">
      <c r="A14" t="s">
        <v>311</v>
      </c>
    </row>
    <row r="15" spans="1:5" x14ac:dyDescent="0.25">
      <c r="A15" t="s">
        <v>312</v>
      </c>
    </row>
    <row r="16" spans="1:5" x14ac:dyDescent="0.25">
      <c r="A16" t="s">
        <v>313</v>
      </c>
    </row>
    <row r="17" spans="1:1" x14ac:dyDescent="0.25">
      <c r="A17" t="s">
        <v>314</v>
      </c>
    </row>
    <row r="18" spans="1:1" x14ac:dyDescent="0.25">
      <c r="A18" t="s">
        <v>315</v>
      </c>
    </row>
    <row r="19" spans="1:1" x14ac:dyDescent="0.25">
      <c r="A19" t="s">
        <v>316</v>
      </c>
    </row>
    <row r="20" spans="1:1" x14ac:dyDescent="0.25">
      <c r="A20" t="s">
        <v>317</v>
      </c>
    </row>
    <row r="21" spans="1:1" x14ac:dyDescent="0.25">
      <c r="A21" t="s">
        <v>318</v>
      </c>
    </row>
    <row r="22" spans="1:1" x14ac:dyDescent="0.25">
      <c r="A22" t="s">
        <v>319</v>
      </c>
    </row>
    <row r="23" spans="1:1" x14ac:dyDescent="0.25">
      <c r="A23" t="s">
        <v>320</v>
      </c>
    </row>
    <row r="24" spans="1:1" x14ac:dyDescent="0.25">
      <c r="A24" t="s">
        <v>321</v>
      </c>
    </row>
    <row r="25" spans="1:1" x14ac:dyDescent="0.25">
      <c r="A25" t="s">
        <v>322</v>
      </c>
    </row>
    <row r="26" spans="1:1" x14ac:dyDescent="0.25">
      <c r="A26" t="s">
        <v>323</v>
      </c>
    </row>
    <row r="27" spans="1:1" x14ac:dyDescent="0.25">
      <c r="A27" t="s">
        <v>324</v>
      </c>
    </row>
    <row r="28" spans="1:1" x14ac:dyDescent="0.25">
      <c r="A28" t="s">
        <v>325</v>
      </c>
    </row>
    <row r="29" spans="1:1" x14ac:dyDescent="0.25">
      <c r="A29" t="s">
        <v>326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88"/>
  <sheetViews>
    <sheetView topLeftCell="A13" workbookViewId="0">
      <selection activeCell="F37" sqref="F37"/>
    </sheetView>
  </sheetViews>
  <sheetFormatPr defaultRowHeight="15" x14ac:dyDescent="0.25"/>
  <cols>
    <col min="1" max="1" width="3.5703125" customWidth="1"/>
    <col min="2" max="2" width="9.7109375" bestFit="1" customWidth="1"/>
    <col min="3" max="3" width="17.42578125" customWidth="1"/>
    <col min="4" max="4" width="18" customWidth="1"/>
    <col min="5" max="5" width="16.140625" customWidth="1"/>
    <col min="6" max="6" width="11.5703125" bestFit="1" customWidth="1"/>
    <col min="7" max="7" width="11.5703125" customWidth="1"/>
    <col min="8" max="8" width="14.140625" customWidth="1"/>
    <col min="9" max="9" width="17.7109375" customWidth="1"/>
  </cols>
  <sheetData>
    <row r="1" spans="1:9" x14ac:dyDescent="0.25">
      <c r="D1" s="286"/>
      <c r="G1" t="s">
        <v>343</v>
      </c>
      <c r="I1" t="s">
        <v>164</v>
      </c>
    </row>
    <row r="2" spans="1:9" ht="15.75" x14ac:dyDescent="0.25">
      <c r="A2" s="263" t="s">
        <v>328</v>
      </c>
      <c r="B2" s="36"/>
      <c r="C2" s="285"/>
      <c r="D2" s="60" t="s">
        <v>330</v>
      </c>
      <c r="E2" s="36" t="s">
        <v>331</v>
      </c>
      <c r="F2" s="36" t="s">
        <v>302</v>
      </c>
      <c r="G2" s="36"/>
      <c r="H2" s="36"/>
      <c r="I2" s="36"/>
    </row>
    <row r="3" spans="1:9" x14ac:dyDescent="0.25">
      <c r="A3" s="46">
        <v>1</v>
      </c>
      <c r="B3" s="282">
        <v>44377</v>
      </c>
      <c r="C3" s="46"/>
      <c r="D3" s="46"/>
      <c r="E3" s="279">
        <v>65000</v>
      </c>
      <c r="F3" s="46" t="s">
        <v>194</v>
      </c>
      <c r="G3" s="279">
        <f>E3/10</f>
        <v>6500</v>
      </c>
      <c r="H3" s="279"/>
      <c r="I3" s="46"/>
    </row>
    <row r="4" spans="1:9" x14ac:dyDescent="0.25">
      <c r="A4" s="46">
        <v>2</v>
      </c>
      <c r="B4" s="282">
        <v>44742</v>
      </c>
      <c r="C4" s="46"/>
      <c r="D4" s="46"/>
      <c r="E4" s="279"/>
      <c r="F4" s="46" t="s">
        <v>303</v>
      </c>
      <c r="G4" s="279">
        <f>G3*0.03 + G3</f>
        <v>6695</v>
      </c>
      <c r="H4" s="46"/>
      <c r="I4" s="46"/>
    </row>
    <row r="5" spans="1:9" x14ac:dyDescent="0.25">
      <c r="A5" s="46">
        <v>3</v>
      </c>
      <c r="B5" s="282">
        <v>45107</v>
      </c>
      <c r="C5" s="46"/>
      <c r="D5" s="46"/>
      <c r="E5" s="279"/>
      <c r="F5" s="46" t="s">
        <v>304</v>
      </c>
      <c r="G5" s="279">
        <f t="shared" ref="G5:G12" si="0">G4*0.03+G4</f>
        <v>6895.85</v>
      </c>
      <c r="H5" s="284"/>
      <c r="I5" s="46"/>
    </row>
    <row r="6" spans="1:9" x14ac:dyDescent="0.25">
      <c r="A6" s="46">
        <v>4</v>
      </c>
      <c r="B6" s="282">
        <v>45473</v>
      </c>
      <c r="C6" s="46"/>
      <c r="D6" s="46" t="s">
        <v>18</v>
      </c>
      <c r="E6" s="279"/>
      <c r="F6" s="46" t="s">
        <v>305</v>
      </c>
      <c r="G6" s="279">
        <f t="shared" si="0"/>
        <v>7102.7255000000005</v>
      </c>
      <c r="H6" s="46"/>
      <c r="I6" s="46"/>
    </row>
    <row r="7" spans="1:9" x14ac:dyDescent="0.25">
      <c r="A7" s="46">
        <v>5</v>
      </c>
      <c r="B7" s="282">
        <v>45838</v>
      </c>
      <c r="C7" s="46"/>
      <c r="D7" s="46"/>
      <c r="E7" s="279"/>
      <c r="F7" s="46" t="s">
        <v>306</v>
      </c>
      <c r="G7" s="279">
        <f t="shared" si="0"/>
        <v>7315.8072650000004</v>
      </c>
      <c r="H7" s="46"/>
      <c r="I7" s="46"/>
    </row>
    <row r="8" spans="1:9" x14ac:dyDescent="0.25">
      <c r="A8" s="46">
        <v>6</v>
      </c>
      <c r="B8" s="282">
        <v>46203</v>
      </c>
      <c r="C8" s="46"/>
      <c r="D8" s="46"/>
      <c r="E8" s="279"/>
      <c r="F8" s="46" t="s">
        <v>307</v>
      </c>
      <c r="G8" s="279">
        <f t="shared" si="0"/>
        <v>7535.2814829500003</v>
      </c>
      <c r="H8" s="279"/>
      <c r="I8" s="46"/>
    </row>
    <row r="9" spans="1:9" x14ac:dyDescent="0.25">
      <c r="A9" s="46">
        <v>7</v>
      </c>
      <c r="B9" s="282">
        <v>46568</v>
      </c>
      <c r="C9" s="46"/>
      <c r="D9" s="46"/>
      <c r="E9" s="279"/>
      <c r="F9" s="46" t="s">
        <v>308</v>
      </c>
      <c r="G9" s="279">
        <f t="shared" si="0"/>
        <v>7761.3399274385001</v>
      </c>
      <c r="H9" s="46"/>
      <c r="I9" s="46"/>
    </row>
    <row r="10" spans="1:9" x14ac:dyDescent="0.25">
      <c r="A10" s="46">
        <v>8</v>
      </c>
      <c r="B10" s="282">
        <v>46934</v>
      </c>
      <c r="C10" s="46"/>
      <c r="D10" s="46"/>
      <c r="E10" s="279"/>
      <c r="F10" s="46" t="s">
        <v>309</v>
      </c>
      <c r="G10" s="279">
        <f t="shared" si="0"/>
        <v>7994.1801252616551</v>
      </c>
      <c r="H10" s="46"/>
      <c r="I10" s="46"/>
    </row>
    <row r="11" spans="1:9" x14ac:dyDescent="0.25">
      <c r="A11" s="46">
        <v>9</v>
      </c>
      <c r="B11" s="282">
        <v>47299</v>
      </c>
      <c r="C11" s="46"/>
      <c r="D11" s="46"/>
      <c r="E11" s="279"/>
      <c r="F11" s="46" t="s">
        <v>310</v>
      </c>
      <c r="G11" s="279">
        <f t="shared" si="0"/>
        <v>8234.005529019505</v>
      </c>
      <c r="H11" s="46"/>
      <c r="I11" s="46"/>
    </row>
    <row r="12" spans="1:9" x14ac:dyDescent="0.25">
      <c r="A12" s="46">
        <v>10</v>
      </c>
      <c r="B12" s="282">
        <v>47664</v>
      </c>
      <c r="C12" s="46"/>
      <c r="D12" s="46"/>
      <c r="E12" s="279"/>
      <c r="F12" s="46" t="s">
        <v>311</v>
      </c>
      <c r="G12" s="279">
        <f t="shared" si="0"/>
        <v>8481.0256948900897</v>
      </c>
      <c r="H12" s="46"/>
      <c r="I12" s="46"/>
    </row>
    <row r="13" spans="1:9" x14ac:dyDescent="0.25">
      <c r="A13">
        <v>11</v>
      </c>
      <c r="B13" s="278">
        <v>48029</v>
      </c>
      <c r="E13" s="2"/>
      <c r="F13" t="s">
        <v>312</v>
      </c>
      <c r="G13" s="2"/>
    </row>
    <row r="14" spans="1:9" x14ac:dyDescent="0.25">
      <c r="A14">
        <v>12</v>
      </c>
      <c r="B14" s="278">
        <v>48395</v>
      </c>
      <c r="E14" s="2"/>
      <c r="F14" t="s">
        <v>313</v>
      </c>
      <c r="G14" s="2">
        <f t="shared" ref="G14:G27" si="1">G13*0.03+G13</f>
        <v>0</v>
      </c>
    </row>
    <row r="15" spans="1:9" x14ac:dyDescent="0.25">
      <c r="A15">
        <v>13</v>
      </c>
      <c r="B15" s="278">
        <v>48760</v>
      </c>
      <c r="E15" s="2"/>
      <c r="F15" t="s">
        <v>314</v>
      </c>
      <c r="G15" s="2">
        <f t="shared" si="1"/>
        <v>0</v>
      </c>
    </row>
    <row r="16" spans="1:9" x14ac:dyDescent="0.25">
      <c r="A16">
        <v>14</v>
      </c>
      <c r="B16" s="278">
        <v>49125</v>
      </c>
      <c r="E16" s="2"/>
      <c r="F16" t="s">
        <v>315</v>
      </c>
      <c r="G16" s="2">
        <f t="shared" si="1"/>
        <v>0</v>
      </c>
    </row>
    <row r="17" spans="1:9" x14ac:dyDescent="0.25">
      <c r="A17">
        <v>15</v>
      </c>
      <c r="B17" s="278">
        <v>49490</v>
      </c>
      <c r="E17" s="2"/>
      <c r="F17" t="s">
        <v>316</v>
      </c>
      <c r="G17" s="2">
        <f t="shared" si="1"/>
        <v>0</v>
      </c>
    </row>
    <row r="18" spans="1:9" x14ac:dyDescent="0.25">
      <c r="A18">
        <v>16</v>
      </c>
      <c r="B18" s="278">
        <v>49856</v>
      </c>
      <c r="E18" s="2"/>
      <c r="F18" t="s">
        <v>317</v>
      </c>
      <c r="G18" s="2">
        <f t="shared" si="1"/>
        <v>0</v>
      </c>
    </row>
    <row r="19" spans="1:9" x14ac:dyDescent="0.25">
      <c r="A19">
        <v>17</v>
      </c>
      <c r="B19" s="278">
        <v>50221</v>
      </c>
      <c r="E19" s="2"/>
      <c r="F19" t="s">
        <v>318</v>
      </c>
      <c r="G19" s="2">
        <f t="shared" si="1"/>
        <v>0</v>
      </c>
    </row>
    <row r="20" spans="1:9" x14ac:dyDescent="0.25">
      <c r="A20">
        <v>18</v>
      </c>
      <c r="B20" s="278">
        <v>50586</v>
      </c>
      <c r="E20" s="2"/>
      <c r="F20" t="s">
        <v>319</v>
      </c>
      <c r="G20" s="2">
        <f t="shared" si="1"/>
        <v>0</v>
      </c>
    </row>
    <row r="21" spans="1:9" x14ac:dyDescent="0.25">
      <c r="A21">
        <v>19</v>
      </c>
      <c r="B21" s="278">
        <v>50951</v>
      </c>
      <c r="E21" s="2"/>
      <c r="F21" t="s">
        <v>320</v>
      </c>
      <c r="G21" s="2">
        <f t="shared" si="1"/>
        <v>0</v>
      </c>
    </row>
    <row r="22" spans="1:9" x14ac:dyDescent="0.25">
      <c r="A22">
        <v>20</v>
      </c>
      <c r="B22" s="278">
        <v>51317</v>
      </c>
      <c r="E22" s="2"/>
      <c r="F22" t="s">
        <v>321</v>
      </c>
      <c r="G22" s="2">
        <f t="shared" si="1"/>
        <v>0</v>
      </c>
    </row>
    <row r="23" spans="1:9" x14ac:dyDescent="0.25">
      <c r="A23">
        <v>21</v>
      </c>
      <c r="B23" s="278">
        <v>51682</v>
      </c>
      <c r="E23" s="2"/>
      <c r="F23" t="s">
        <v>322</v>
      </c>
      <c r="G23" s="2">
        <f t="shared" si="1"/>
        <v>0</v>
      </c>
    </row>
    <row r="24" spans="1:9" x14ac:dyDescent="0.25">
      <c r="A24">
        <v>22</v>
      </c>
      <c r="B24" s="278">
        <v>52047</v>
      </c>
      <c r="E24" s="2"/>
      <c r="F24" t="s">
        <v>323</v>
      </c>
      <c r="G24" s="2">
        <f t="shared" si="1"/>
        <v>0</v>
      </c>
    </row>
    <row r="25" spans="1:9" x14ac:dyDescent="0.25">
      <c r="A25">
        <v>23</v>
      </c>
      <c r="B25" s="278">
        <v>52412</v>
      </c>
      <c r="E25" s="2"/>
      <c r="F25" t="s">
        <v>324</v>
      </c>
      <c r="G25" s="2">
        <f t="shared" si="1"/>
        <v>0</v>
      </c>
    </row>
    <row r="26" spans="1:9" x14ac:dyDescent="0.25">
      <c r="A26">
        <v>24</v>
      </c>
      <c r="B26" s="278">
        <v>52778</v>
      </c>
      <c r="E26" s="2"/>
      <c r="F26" t="s">
        <v>325</v>
      </c>
      <c r="G26" s="2">
        <f t="shared" si="1"/>
        <v>0</v>
      </c>
    </row>
    <row r="27" spans="1:9" x14ac:dyDescent="0.25">
      <c r="A27">
        <v>25</v>
      </c>
      <c r="B27" s="278">
        <v>53143</v>
      </c>
      <c r="E27" s="2"/>
      <c r="F27" t="s">
        <v>326</v>
      </c>
      <c r="G27" s="2">
        <f t="shared" si="1"/>
        <v>0</v>
      </c>
    </row>
    <row r="28" spans="1:9" x14ac:dyDescent="0.25">
      <c r="B28" s="278"/>
      <c r="E28" s="2"/>
      <c r="G28" s="2"/>
    </row>
    <row r="29" spans="1:9" x14ac:dyDescent="0.25">
      <c r="B29" s="278"/>
      <c r="E29" s="2"/>
      <c r="G29" s="2">
        <f>SUM(G3:G28)</f>
        <v>74515.215524559753</v>
      </c>
    </row>
    <row r="30" spans="1:9" x14ac:dyDescent="0.25">
      <c r="B30" s="278"/>
      <c r="H30" s="2"/>
      <c r="I30" s="1"/>
    </row>
    <row r="31" spans="1:9" x14ac:dyDescent="0.25">
      <c r="B31" s="278"/>
      <c r="H31" s="2"/>
      <c r="I31" s="1"/>
    </row>
    <row r="32" spans="1:9" x14ac:dyDescent="0.25">
      <c r="B32" s="278"/>
      <c r="H32" s="2"/>
      <c r="I32" s="1"/>
    </row>
    <row r="33" spans="2:9" x14ac:dyDescent="0.25">
      <c r="B33" s="278"/>
      <c r="H33" s="2"/>
      <c r="I33" s="1"/>
    </row>
    <row r="34" spans="2:9" x14ac:dyDescent="0.25">
      <c r="B34" s="278"/>
      <c r="H34" s="2"/>
      <c r="I34" s="1"/>
    </row>
    <row r="35" spans="2:9" x14ac:dyDescent="0.25">
      <c r="B35" s="278"/>
      <c r="H35" s="2"/>
      <c r="I35" s="1"/>
    </row>
    <row r="36" spans="2:9" x14ac:dyDescent="0.25">
      <c r="B36" s="278"/>
      <c r="H36" s="2"/>
      <c r="I36" s="1"/>
    </row>
    <row r="37" spans="2:9" x14ac:dyDescent="0.25">
      <c r="B37" s="278"/>
      <c r="H37" s="2"/>
      <c r="I37" s="1"/>
    </row>
    <row r="42" spans="2:9" x14ac:dyDescent="0.25">
      <c r="C42" s="43" t="s">
        <v>332</v>
      </c>
      <c r="D42" s="43">
        <v>200</v>
      </c>
      <c r="E42" s="43">
        <v>300</v>
      </c>
    </row>
    <row r="43" spans="2:9" ht="15.75" thickBot="1" x14ac:dyDescent="0.3">
      <c r="C43" s="46" t="s">
        <v>194</v>
      </c>
      <c r="D43" s="279">
        <f t="shared" ref="D43:D52" si="2">G3/2</f>
        <v>3250</v>
      </c>
      <c r="E43" s="281">
        <f t="shared" ref="E43:E52" si="3">G3/2</f>
        <v>3250</v>
      </c>
    </row>
    <row r="44" spans="2:9" ht="15.75" thickTop="1" x14ac:dyDescent="0.25">
      <c r="C44" s="46" t="s">
        <v>303</v>
      </c>
      <c r="D44" s="279">
        <f t="shared" si="2"/>
        <v>3347.5</v>
      </c>
      <c r="E44" s="279">
        <f t="shared" si="3"/>
        <v>3347.5</v>
      </c>
    </row>
    <row r="45" spans="2:9" x14ac:dyDescent="0.25">
      <c r="C45" s="46" t="s">
        <v>304</v>
      </c>
      <c r="D45" s="279">
        <f t="shared" si="2"/>
        <v>3447.9250000000002</v>
      </c>
      <c r="E45" s="279">
        <f t="shared" si="3"/>
        <v>3447.9250000000002</v>
      </c>
    </row>
    <row r="46" spans="2:9" x14ac:dyDescent="0.25">
      <c r="C46" s="46" t="s">
        <v>305</v>
      </c>
      <c r="D46" s="279">
        <f t="shared" si="2"/>
        <v>3551.3627500000002</v>
      </c>
      <c r="E46" s="279">
        <f t="shared" si="3"/>
        <v>3551.3627500000002</v>
      </c>
    </row>
    <row r="47" spans="2:9" x14ac:dyDescent="0.25">
      <c r="C47" s="46" t="s">
        <v>306</v>
      </c>
      <c r="D47" s="279">
        <f t="shared" si="2"/>
        <v>3657.9036325000002</v>
      </c>
      <c r="E47" s="279">
        <f t="shared" si="3"/>
        <v>3657.9036325000002</v>
      </c>
    </row>
    <row r="48" spans="2:9" x14ac:dyDescent="0.25">
      <c r="C48" s="46" t="s">
        <v>307</v>
      </c>
      <c r="D48" s="279">
        <f t="shared" si="2"/>
        <v>3767.6407414750001</v>
      </c>
      <c r="E48" s="279">
        <f t="shared" si="3"/>
        <v>3767.6407414750001</v>
      </c>
    </row>
    <row r="49" spans="3:5" x14ac:dyDescent="0.25">
      <c r="C49" s="46" t="s">
        <v>308</v>
      </c>
      <c r="D49" s="279">
        <f t="shared" si="2"/>
        <v>3880.6699637192501</v>
      </c>
      <c r="E49" s="279">
        <f t="shared" si="3"/>
        <v>3880.6699637192501</v>
      </c>
    </row>
    <row r="50" spans="3:5" x14ac:dyDescent="0.25">
      <c r="C50" s="46" t="s">
        <v>309</v>
      </c>
      <c r="D50" s="279">
        <f t="shared" si="2"/>
        <v>3997.0900626308276</v>
      </c>
      <c r="E50" s="279">
        <f t="shared" si="3"/>
        <v>3997.0900626308276</v>
      </c>
    </row>
    <row r="51" spans="3:5" x14ac:dyDescent="0.25">
      <c r="C51" s="46" t="s">
        <v>310</v>
      </c>
      <c r="D51" s="279">
        <f t="shared" si="2"/>
        <v>4117.0027645097525</v>
      </c>
      <c r="E51" s="279">
        <f t="shared" si="3"/>
        <v>4117.0027645097525</v>
      </c>
    </row>
    <row r="52" spans="3:5" x14ac:dyDescent="0.25">
      <c r="C52" s="46" t="s">
        <v>311</v>
      </c>
      <c r="D52" s="279">
        <f t="shared" si="2"/>
        <v>4240.5128474450448</v>
      </c>
      <c r="E52" s="279">
        <f t="shared" si="3"/>
        <v>4240.5128474450448</v>
      </c>
    </row>
    <row r="53" spans="3:5" x14ac:dyDescent="0.25">
      <c r="C53" t="s">
        <v>312</v>
      </c>
      <c r="D53" s="279"/>
      <c r="E53" s="279"/>
    </row>
    <row r="54" spans="3:5" x14ac:dyDescent="0.25">
      <c r="C54" t="s">
        <v>313</v>
      </c>
      <c r="D54" s="279"/>
      <c r="E54" s="279"/>
    </row>
    <row r="55" spans="3:5" x14ac:dyDescent="0.25">
      <c r="C55" t="s">
        <v>314</v>
      </c>
      <c r="D55" s="279"/>
      <c r="E55" s="279"/>
    </row>
    <row r="56" spans="3:5" x14ac:dyDescent="0.25">
      <c r="C56" t="s">
        <v>315</v>
      </c>
      <c r="D56" s="279"/>
      <c r="E56" s="279"/>
    </row>
    <row r="57" spans="3:5" x14ac:dyDescent="0.25">
      <c r="C57" t="s">
        <v>316</v>
      </c>
      <c r="D57" s="279"/>
      <c r="E57" s="279"/>
    </row>
    <row r="58" spans="3:5" x14ac:dyDescent="0.25">
      <c r="C58" t="s">
        <v>317</v>
      </c>
      <c r="D58" s="279"/>
      <c r="E58" s="279"/>
    </row>
    <row r="59" spans="3:5" x14ac:dyDescent="0.25">
      <c r="C59" t="s">
        <v>318</v>
      </c>
      <c r="D59" s="279"/>
      <c r="E59" s="279"/>
    </row>
    <row r="60" spans="3:5" x14ac:dyDescent="0.25">
      <c r="C60" t="s">
        <v>319</v>
      </c>
      <c r="D60" s="279"/>
      <c r="E60" s="279"/>
    </row>
    <row r="61" spans="3:5" x14ac:dyDescent="0.25">
      <c r="C61" t="s">
        <v>320</v>
      </c>
      <c r="D61" s="279"/>
      <c r="E61" s="279"/>
    </row>
    <row r="62" spans="3:5" x14ac:dyDescent="0.25">
      <c r="C62" t="s">
        <v>321</v>
      </c>
    </row>
    <row r="63" spans="3:5" x14ac:dyDescent="0.25">
      <c r="C63" t="s">
        <v>322</v>
      </c>
    </row>
    <row r="64" spans="3:5" x14ac:dyDescent="0.25">
      <c r="C64" t="s">
        <v>323</v>
      </c>
    </row>
    <row r="65" spans="1:9" x14ac:dyDescent="0.25">
      <c r="C65" t="s">
        <v>324</v>
      </c>
    </row>
    <row r="66" spans="1:9" x14ac:dyDescent="0.25">
      <c r="C66" t="s">
        <v>325</v>
      </c>
    </row>
    <row r="67" spans="1:9" x14ac:dyDescent="0.25">
      <c r="C67" t="s">
        <v>326</v>
      </c>
    </row>
    <row r="68" spans="1:9" x14ac:dyDescent="0.25">
      <c r="B68" s="278"/>
    </row>
    <row r="69" spans="1:9" ht="15.75" x14ac:dyDescent="0.25">
      <c r="A69" s="263" t="s">
        <v>342</v>
      </c>
      <c r="B69" s="36"/>
      <c r="C69" s="285"/>
      <c r="D69" s="60" t="s">
        <v>330</v>
      </c>
      <c r="E69" s="36" t="s">
        <v>331</v>
      </c>
      <c r="F69" s="36" t="s">
        <v>302</v>
      </c>
      <c r="G69" s="36"/>
      <c r="H69" s="36"/>
      <c r="I69" s="36"/>
    </row>
    <row r="70" spans="1:9" x14ac:dyDescent="0.25">
      <c r="A70" s="283">
        <v>1</v>
      </c>
      <c r="B70" s="282">
        <v>44377</v>
      </c>
      <c r="C70" s="46"/>
      <c r="D70" s="46"/>
      <c r="E70" s="279">
        <v>50000</v>
      </c>
      <c r="F70" s="46" t="s">
        <v>194</v>
      </c>
      <c r="G70" s="279">
        <f>E70/6</f>
        <v>8333.3333333333339</v>
      </c>
      <c r="H70" s="279"/>
      <c r="I70" s="46"/>
    </row>
    <row r="71" spans="1:9" x14ac:dyDescent="0.25">
      <c r="A71" s="283">
        <v>2</v>
      </c>
      <c r="B71" s="282">
        <v>44742</v>
      </c>
      <c r="C71" s="46"/>
      <c r="D71" s="46"/>
      <c r="E71" s="279"/>
      <c r="F71" s="46" t="s">
        <v>303</v>
      </c>
      <c r="G71" s="279">
        <f>G70*0.03 + G70</f>
        <v>8583.3333333333339</v>
      </c>
      <c r="H71" s="46"/>
      <c r="I71" s="46"/>
    </row>
    <row r="72" spans="1:9" x14ac:dyDescent="0.25">
      <c r="A72" s="283">
        <v>3</v>
      </c>
      <c r="B72" s="282">
        <v>45107</v>
      </c>
      <c r="C72" s="46"/>
      <c r="D72" s="46"/>
      <c r="E72" s="279"/>
      <c r="F72" s="46" t="s">
        <v>304</v>
      </c>
      <c r="G72" s="279">
        <f>G71*0.03+G71</f>
        <v>8840.8333333333339</v>
      </c>
      <c r="H72" s="284"/>
      <c r="I72" s="46"/>
    </row>
    <row r="73" spans="1:9" x14ac:dyDescent="0.25">
      <c r="A73" s="283">
        <v>4</v>
      </c>
      <c r="B73" s="282">
        <v>45473</v>
      </c>
      <c r="C73" s="46"/>
      <c r="D73" s="46" t="s">
        <v>18</v>
      </c>
      <c r="E73" s="279"/>
      <c r="F73" s="46" t="s">
        <v>305</v>
      </c>
      <c r="G73" s="279">
        <f>G72*0.03+G72</f>
        <v>9106.0583333333343</v>
      </c>
      <c r="H73" s="46"/>
      <c r="I73" s="46"/>
    </row>
    <row r="74" spans="1:9" x14ac:dyDescent="0.25">
      <c r="A74" s="283">
        <v>5</v>
      </c>
      <c r="B74" s="282">
        <v>45838</v>
      </c>
      <c r="C74" s="46"/>
      <c r="D74" s="46"/>
      <c r="E74" s="279"/>
      <c r="F74" s="46" t="s">
        <v>306</v>
      </c>
      <c r="G74" s="279">
        <f>G73*0.03+G73</f>
        <v>9379.240083333334</v>
      </c>
      <c r="H74" s="46"/>
      <c r="I74" s="46"/>
    </row>
    <row r="75" spans="1:9" x14ac:dyDescent="0.25">
      <c r="A75" s="283">
        <v>6</v>
      </c>
      <c r="B75" s="282">
        <v>46203</v>
      </c>
      <c r="C75" s="46"/>
      <c r="D75" s="46"/>
      <c r="E75" s="279"/>
      <c r="F75" s="46" t="s">
        <v>307</v>
      </c>
      <c r="G75" s="279">
        <f>G74*0.03+G74</f>
        <v>9660.6172858333339</v>
      </c>
      <c r="H75" s="279"/>
      <c r="I75" s="46"/>
    </row>
    <row r="76" spans="1:9" x14ac:dyDescent="0.25">
      <c r="A76" s="283">
        <v>7</v>
      </c>
      <c r="B76" s="282">
        <v>46568</v>
      </c>
      <c r="C76" s="46"/>
      <c r="D76" s="46"/>
      <c r="E76" s="279"/>
      <c r="F76" s="46" t="s">
        <v>308</v>
      </c>
      <c r="G76" s="279"/>
      <c r="H76" s="46"/>
      <c r="I76" s="46"/>
    </row>
    <row r="77" spans="1:9" x14ac:dyDescent="0.25">
      <c r="A77" s="283">
        <v>8</v>
      </c>
      <c r="B77" s="282">
        <v>46934</v>
      </c>
      <c r="C77" s="46"/>
      <c r="D77" s="46"/>
      <c r="E77" s="279"/>
      <c r="F77" s="46" t="s">
        <v>309</v>
      </c>
      <c r="G77" s="279"/>
      <c r="H77" s="46"/>
      <c r="I77" s="46"/>
    </row>
    <row r="78" spans="1:9" x14ac:dyDescent="0.25">
      <c r="A78" s="283">
        <v>9</v>
      </c>
      <c r="B78" s="282">
        <v>47299</v>
      </c>
      <c r="C78" s="46"/>
      <c r="D78" s="46"/>
      <c r="E78" s="279"/>
      <c r="F78" s="46" t="s">
        <v>310</v>
      </c>
      <c r="G78" s="279"/>
      <c r="H78" s="46"/>
      <c r="I78" s="46"/>
    </row>
    <row r="79" spans="1:9" x14ac:dyDescent="0.25">
      <c r="A79" s="283">
        <v>10</v>
      </c>
      <c r="B79" s="282">
        <v>47664</v>
      </c>
      <c r="C79" s="46"/>
      <c r="D79" s="46"/>
      <c r="E79" s="279"/>
      <c r="F79" s="46" t="s">
        <v>311</v>
      </c>
      <c r="G79" s="279"/>
      <c r="H79" s="46"/>
      <c r="I79" s="46"/>
    </row>
    <row r="80" spans="1:9" x14ac:dyDescent="0.25">
      <c r="A80" s="263">
        <v>11</v>
      </c>
      <c r="B80" s="278">
        <v>48029</v>
      </c>
      <c r="E80" s="2"/>
      <c r="F80" t="s">
        <v>312</v>
      </c>
      <c r="G80" s="2"/>
    </row>
    <row r="81" spans="1:7" x14ac:dyDescent="0.25">
      <c r="A81" s="263">
        <v>12</v>
      </c>
      <c r="B81" s="278">
        <v>48395</v>
      </c>
      <c r="E81" s="2"/>
      <c r="F81" t="s">
        <v>313</v>
      </c>
      <c r="G81" s="2">
        <f t="shared" ref="G81:G94" si="4">G80*0.03+G80</f>
        <v>0</v>
      </c>
    </row>
    <row r="82" spans="1:7" x14ac:dyDescent="0.25">
      <c r="A82" s="263">
        <v>13</v>
      </c>
      <c r="B82" s="278">
        <v>48760</v>
      </c>
      <c r="E82" s="2"/>
      <c r="F82" t="s">
        <v>314</v>
      </c>
      <c r="G82" s="2">
        <f t="shared" si="4"/>
        <v>0</v>
      </c>
    </row>
    <row r="83" spans="1:7" x14ac:dyDescent="0.25">
      <c r="A83" s="263">
        <v>14</v>
      </c>
      <c r="B83" s="278">
        <v>49125</v>
      </c>
      <c r="E83" s="2"/>
      <c r="F83" t="s">
        <v>315</v>
      </c>
      <c r="G83" s="2">
        <f t="shared" si="4"/>
        <v>0</v>
      </c>
    </row>
    <row r="84" spans="1:7" x14ac:dyDescent="0.25">
      <c r="A84" s="263">
        <v>15</v>
      </c>
      <c r="B84" s="278">
        <v>49490</v>
      </c>
      <c r="E84" s="2"/>
      <c r="F84" t="s">
        <v>316</v>
      </c>
      <c r="G84" s="2">
        <f t="shared" si="4"/>
        <v>0</v>
      </c>
    </row>
    <row r="85" spans="1:7" x14ac:dyDescent="0.25">
      <c r="A85" s="263">
        <v>16</v>
      </c>
      <c r="B85" s="278">
        <v>49856</v>
      </c>
      <c r="E85" s="2"/>
      <c r="F85" t="s">
        <v>317</v>
      </c>
      <c r="G85" s="2">
        <f t="shared" si="4"/>
        <v>0</v>
      </c>
    </row>
    <row r="86" spans="1:7" x14ac:dyDescent="0.25">
      <c r="A86" s="263">
        <v>17</v>
      </c>
      <c r="B86" s="278">
        <v>50221</v>
      </c>
      <c r="E86" s="2"/>
      <c r="F86" t="s">
        <v>318</v>
      </c>
      <c r="G86" s="2">
        <f t="shared" si="4"/>
        <v>0</v>
      </c>
    </row>
    <row r="87" spans="1:7" x14ac:dyDescent="0.25">
      <c r="A87" s="263">
        <v>18</v>
      </c>
      <c r="B87" s="278">
        <v>50586</v>
      </c>
      <c r="E87" s="2"/>
      <c r="F87" t="s">
        <v>319</v>
      </c>
      <c r="G87" s="2">
        <f t="shared" si="4"/>
        <v>0</v>
      </c>
    </row>
    <row r="88" spans="1:7" x14ac:dyDescent="0.25">
      <c r="A88" s="263">
        <v>19</v>
      </c>
      <c r="B88" s="278">
        <v>50951</v>
      </c>
      <c r="E88" s="2"/>
      <c r="F88" t="s">
        <v>320</v>
      </c>
      <c r="G88" s="2">
        <f t="shared" si="4"/>
        <v>0</v>
      </c>
    </row>
    <row r="89" spans="1:7" x14ac:dyDescent="0.25">
      <c r="A89" s="263">
        <v>20</v>
      </c>
      <c r="B89" s="278">
        <v>51317</v>
      </c>
      <c r="E89" s="2"/>
      <c r="F89" t="s">
        <v>321</v>
      </c>
      <c r="G89" s="2">
        <f t="shared" si="4"/>
        <v>0</v>
      </c>
    </row>
    <row r="90" spans="1:7" x14ac:dyDescent="0.25">
      <c r="A90" s="263">
        <v>21</v>
      </c>
      <c r="B90" s="278">
        <v>51682</v>
      </c>
      <c r="E90" s="2"/>
      <c r="F90" t="s">
        <v>322</v>
      </c>
      <c r="G90" s="2">
        <f t="shared" si="4"/>
        <v>0</v>
      </c>
    </row>
    <row r="91" spans="1:7" x14ac:dyDescent="0.25">
      <c r="A91" s="263">
        <v>22</v>
      </c>
      <c r="B91" s="278">
        <v>52047</v>
      </c>
      <c r="E91" s="2"/>
      <c r="F91" t="s">
        <v>323</v>
      </c>
      <c r="G91" s="2">
        <f t="shared" si="4"/>
        <v>0</v>
      </c>
    </row>
    <row r="92" spans="1:7" x14ac:dyDescent="0.25">
      <c r="A92" s="263">
        <v>23</v>
      </c>
      <c r="B92" s="278">
        <v>52412</v>
      </c>
      <c r="E92" s="2"/>
      <c r="F92" t="s">
        <v>324</v>
      </c>
      <c r="G92" s="2">
        <f t="shared" si="4"/>
        <v>0</v>
      </c>
    </row>
    <row r="93" spans="1:7" x14ac:dyDescent="0.25">
      <c r="A93" s="263">
        <v>24</v>
      </c>
      <c r="B93" s="278">
        <v>52778</v>
      </c>
      <c r="E93" s="2"/>
      <c r="F93" t="s">
        <v>325</v>
      </c>
      <c r="G93" s="2">
        <f t="shared" si="4"/>
        <v>0</v>
      </c>
    </row>
    <row r="94" spans="1:7" x14ac:dyDescent="0.25">
      <c r="A94" s="263">
        <v>25</v>
      </c>
      <c r="B94" s="278">
        <v>53143</v>
      </c>
      <c r="E94" s="2"/>
      <c r="F94" t="s">
        <v>326</v>
      </c>
      <c r="G94" s="2">
        <f t="shared" si="4"/>
        <v>0</v>
      </c>
    </row>
    <row r="95" spans="1:7" x14ac:dyDescent="0.25">
      <c r="B95" s="278"/>
      <c r="E95" s="2"/>
      <c r="G95" s="2"/>
    </row>
    <row r="96" spans="1:7" x14ac:dyDescent="0.25">
      <c r="B96" s="278"/>
      <c r="E96" s="2"/>
      <c r="G96" s="2">
        <f>SUM(G70:G95)</f>
        <v>53903.415702500002</v>
      </c>
    </row>
    <row r="105" spans="3:6" x14ac:dyDescent="0.25">
      <c r="D105" s="43" t="s">
        <v>332</v>
      </c>
      <c r="E105" s="43">
        <v>200</v>
      </c>
      <c r="F105" s="43">
        <v>300</v>
      </c>
    </row>
    <row r="106" spans="3:6" ht="15.75" thickBot="1" x14ac:dyDescent="0.3">
      <c r="C106" s="263">
        <v>1</v>
      </c>
      <c r="D106" s="46" t="s">
        <v>194</v>
      </c>
      <c r="E106" s="279">
        <f t="shared" ref="E106:E111" si="5">G70/2</f>
        <v>4166.666666666667</v>
      </c>
      <c r="F106" s="281">
        <f t="shared" ref="F106:F111" si="6">G70/2</f>
        <v>4166.666666666667</v>
      </c>
    </row>
    <row r="107" spans="3:6" ht="15.75" thickTop="1" x14ac:dyDescent="0.25">
      <c r="C107" s="263">
        <v>2</v>
      </c>
      <c r="D107" s="46" t="s">
        <v>303</v>
      </c>
      <c r="E107" s="279">
        <f t="shared" si="5"/>
        <v>4291.666666666667</v>
      </c>
      <c r="F107" s="279">
        <f t="shared" si="6"/>
        <v>4291.666666666667</v>
      </c>
    </row>
    <row r="108" spans="3:6" x14ac:dyDescent="0.25">
      <c r="C108" s="263">
        <v>3</v>
      </c>
      <c r="D108" s="46" t="s">
        <v>304</v>
      </c>
      <c r="E108" s="279">
        <f t="shared" si="5"/>
        <v>4420.416666666667</v>
      </c>
      <c r="F108" s="279">
        <f t="shared" si="6"/>
        <v>4420.416666666667</v>
      </c>
    </row>
    <row r="109" spans="3:6" x14ac:dyDescent="0.25">
      <c r="C109" s="263">
        <v>4</v>
      </c>
      <c r="D109" s="46" t="s">
        <v>305</v>
      </c>
      <c r="E109" s="279">
        <f t="shared" si="5"/>
        <v>4553.0291666666672</v>
      </c>
      <c r="F109" s="279">
        <f t="shared" si="6"/>
        <v>4553.0291666666672</v>
      </c>
    </row>
    <row r="110" spans="3:6" x14ac:dyDescent="0.25">
      <c r="C110" s="263">
        <v>5</v>
      </c>
      <c r="D110" s="46" t="s">
        <v>306</v>
      </c>
      <c r="E110" s="279">
        <f t="shared" si="5"/>
        <v>4689.620041666667</v>
      </c>
      <c r="F110" s="279">
        <f t="shared" si="6"/>
        <v>4689.620041666667</v>
      </c>
    </row>
    <row r="111" spans="3:6" x14ac:dyDescent="0.25">
      <c r="C111" s="263">
        <v>6</v>
      </c>
      <c r="D111" s="46" t="s">
        <v>307</v>
      </c>
      <c r="E111" s="279">
        <f t="shared" si="5"/>
        <v>4830.3086429166669</v>
      </c>
      <c r="F111" s="279">
        <f t="shared" si="6"/>
        <v>4830.3086429166669</v>
      </c>
    </row>
    <row r="112" spans="3:6" x14ac:dyDescent="0.25">
      <c r="E112" s="235"/>
      <c r="F112" s="235"/>
    </row>
    <row r="113" spans="5:6" x14ac:dyDescent="0.25">
      <c r="E113" s="235"/>
      <c r="F113" s="235"/>
    </row>
    <row r="114" spans="5:6" x14ac:dyDescent="0.25">
      <c r="E114" s="235"/>
      <c r="F114" s="235"/>
    </row>
    <row r="115" spans="5:6" x14ac:dyDescent="0.25">
      <c r="E115" s="235"/>
      <c r="F115" s="235"/>
    </row>
    <row r="138" spans="1:9" ht="15.75" x14ac:dyDescent="0.25">
      <c r="A138" s="263" t="s">
        <v>341</v>
      </c>
      <c r="B138" s="36"/>
      <c r="C138" s="285"/>
      <c r="D138" s="60" t="s">
        <v>330</v>
      </c>
      <c r="E138" s="36" t="s">
        <v>331</v>
      </c>
      <c r="F138" s="36" t="s">
        <v>302</v>
      </c>
      <c r="G138" s="36"/>
      <c r="H138" s="36"/>
      <c r="I138" s="36"/>
    </row>
    <row r="139" spans="1:9" x14ac:dyDescent="0.25">
      <c r="A139" s="283">
        <v>1</v>
      </c>
      <c r="B139" s="282">
        <v>44377</v>
      </c>
      <c r="C139" s="46"/>
      <c r="D139" s="46"/>
      <c r="E139" s="279">
        <v>65000</v>
      </c>
      <c r="F139" s="46" t="s">
        <v>194</v>
      </c>
      <c r="G139" s="279">
        <f>E139/6</f>
        <v>10833.333333333334</v>
      </c>
      <c r="H139" s="279"/>
      <c r="I139" s="46"/>
    </row>
    <row r="140" spans="1:9" x14ac:dyDescent="0.25">
      <c r="A140" s="283">
        <v>2</v>
      </c>
      <c r="B140" s="282">
        <v>44742</v>
      </c>
      <c r="C140" s="46"/>
      <c r="D140" s="46"/>
      <c r="E140" s="279"/>
      <c r="F140" s="46" t="s">
        <v>303</v>
      </c>
      <c r="G140" s="279">
        <f>G139*0.03 + G139</f>
        <v>11158.333333333334</v>
      </c>
      <c r="H140" s="46"/>
      <c r="I140" s="46"/>
    </row>
    <row r="141" spans="1:9" x14ac:dyDescent="0.25">
      <c r="A141" s="283">
        <v>3</v>
      </c>
      <c r="B141" s="282">
        <v>45107</v>
      </c>
      <c r="C141" s="46"/>
      <c r="D141" s="46"/>
      <c r="E141" s="279"/>
      <c r="F141" s="46" t="s">
        <v>304</v>
      </c>
      <c r="G141" s="279">
        <f>G140*0.03+G140</f>
        <v>11493.083333333334</v>
      </c>
      <c r="H141" s="284"/>
      <c r="I141" s="46"/>
    </row>
    <row r="142" spans="1:9" x14ac:dyDescent="0.25">
      <c r="A142" s="283">
        <v>4</v>
      </c>
      <c r="B142" s="282">
        <v>45473</v>
      </c>
      <c r="C142" s="46"/>
      <c r="D142" s="46" t="s">
        <v>18</v>
      </c>
      <c r="E142" s="279"/>
      <c r="F142" s="46" t="s">
        <v>305</v>
      </c>
      <c r="G142" s="279">
        <f>G141*0.03 + G141</f>
        <v>11837.875833333334</v>
      </c>
      <c r="H142" s="46"/>
      <c r="I142" s="46"/>
    </row>
    <row r="143" spans="1:9" x14ac:dyDescent="0.25">
      <c r="A143" s="283">
        <v>5</v>
      </c>
      <c r="B143" s="282">
        <v>45838</v>
      </c>
      <c r="C143" s="46"/>
      <c r="D143" s="46"/>
      <c r="E143" s="279"/>
      <c r="F143" s="46" t="s">
        <v>306</v>
      </c>
      <c r="G143" s="279">
        <f>G142*0.03+G142</f>
        <v>12193.012108333334</v>
      </c>
      <c r="H143" s="46"/>
      <c r="I143" s="46"/>
    </row>
    <row r="144" spans="1:9" x14ac:dyDescent="0.25">
      <c r="A144" s="283">
        <v>6</v>
      </c>
      <c r="B144" s="282">
        <v>46203</v>
      </c>
      <c r="C144" s="46"/>
      <c r="D144" s="46"/>
      <c r="E144" s="279"/>
      <c r="F144" s="46" t="s">
        <v>307</v>
      </c>
      <c r="G144" s="279">
        <f>G143*0.03+G143</f>
        <v>12558.802471583334</v>
      </c>
      <c r="H144" s="279"/>
      <c r="I144" s="46"/>
    </row>
    <row r="145" spans="1:9" x14ac:dyDescent="0.25">
      <c r="A145" s="283">
        <v>7</v>
      </c>
      <c r="B145" s="282">
        <v>46568</v>
      </c>
      <c r="C145" s="46"/>
      <c r="D145" s="46"/>
      <c r="E145" s="279"/>
      <c r="F145" s="46" t="s">
        <v>308</v>
      </c>
      <c r="G145" s="279">
        <f>G144*0.03 + G144</f>
        <v>12935.566545730835</v>
      </c>
      <c r="H145" s="46"/>
      <c r="I145" s="46"/>
    </row>
    <row r="146" spans="1:9" x14ac:dyDescent="0.25">
      <c r="A146" s="283">
        <v>8</v>
      </c>
      <c r="B146" s="282">
        <v>46934</v>
      </c>
      <c r="C146" s="46"/>
      <c r="D146" s="46"/>
      <c r="E146" s="279"/>
      <c r="F146" s="46" t="s">
        <v>309</v>
      </c>
      <c r="G146" s="279">
        <f>G145*0.03+G145</f>
        <v>13323.63354210276</v>
      </c>
      <c r="H146" s="46"/>
      <c r="I146" s="46"/>
    </row>
    <row r="147" spans="1:9" x14ac:dyDescent="0.25">
      <c r="A147" s="283">
        <v>9</v>
      </c>
      <c r="B147" s="282">
        <v>47299</v>
      </c>
      <c r="C147" s="46"/>
      <c r="D147" s="46"/>
      <c r="E147" s="279"/>
      <c r="F147" s="46" t="s">
        <v>310</v>
      </c>
      <c r="G147" s="279">
        <f>G146*0.03+G146</f>
        <v>13723.342548365843</v>
      </c>
      <c r="H147" s="46"/>
      <c r="I147" s="46"/>
    </row>
    <row r="148" spans="1:9" x14ac:dyDescent="0.25">
      <c r="A148" s="283">
        <v>10</v>
      </c>
      <c r="B148" s="282">
        <v>47664</v>
      </c>
      <c r="C148" s="46"/>
      <c r="D148" s="46"/>
      <c r="E148" s="279"/>
      <c r="F148" s="46" t="s">
        <v>311</v>
      </c>
      <c r="G148" s="279">
        <f>G147*0.03 + G147</f>
        <v>14135.042824816817</v>
      </c>
      <c r="H148" s="46"/>
      <c r="I148" s="46"/>
    </row>
    <row r="149" spans="1:9" x14ac:dyDescent="0.25">
      <c r="A149" s="283">
        <v>11</v>
      </c>
      <c r="B149" s="282">
        <v>48029</v>
      </c>
      <c r="C149" s="46"/>
      <c r="D149" s="46"/>
      <c r="E149" s="279"/>
      <c r="F149" s="46" t="s">
        <v>312</v>
      </c>
      <c r="G149" s="279">
        <f>G148*0.03+G148</f>
        <v>14559.094109561322</v>
      </c>
      <c r="H149" s="46"/>
      <c r="I149" s="46"/>
    </row>
    <row r="150" spans="1:9" x14ac:dyDescent="0.25">
      <c r="A150" s="283">
        <v>12</v>
      </c>
      <c r="B150" s="282">
        <v>48395</v>
      </c>
      <c r="C150" s="46"/>
      <c r="D150" s="46"/>
      <c r="E150" s="279"/>
      <c r="F150" s="46" t="s">
        <v>313</v>
      </c>
      <c r="G150" s="279">
        <f>G149*0.03+G149</f>
        <v>14995.866932848161</v>
      </c>
      <c r="H150" s="46"/>
      <c r="I150" s="46"/>
    </row>
    <row r="151" spans="1:9" x14ac:dyDescent="0.25">
      <c r="A151" s="283">
        <v>13</v>
      </c>
      <c r="B151" s="282">
        <v>48760</v>
      </c>
      <c r="C151" s="46"/>
      <c r="D151" s="46"/>
      <c r="E151" s="279"/>
      <c r="F151" s="46" t="s">
        <v>314</v>
      </c>
      <c r="G151" s="279">
        <f>G150*0.03 + G150</f>
        <v>15445.742940833607</v>
      </c>
      <c r="H151" s="46"/>
      <c r="I151" s="46"/>
    </row>
    <row r="152" spans="1:9" x14ac:dyDescent="0.25">
      <c r="A152" s="283">
        <v>14</v>
      </c>
      <c r="B152" s="282">
        <v>49125</v>
      </c>
      <c r="C152" s="46"/>
      <c r="D152" s="46"/>
      <c r="E152" s="279"/>
      <c r="F152" s="46" t="s">
        <v>315</v>
      </c>
      <c r="G152" s="279">
        <f t="shared" ref="G152:G163" si="7">G151*0.03+G151</f>
        <v>15909.115229058614</v>
      </c>
      <c r="H152" s="46"/>
      <c r="I152" s="46"/>
    </row>
    <row r="153" spans="1:9" x14ac:dyDescent="0.25">
      <c r="A153" s="283">
        <v>15</v>
      </c>
      <c r="B153" s="282">
        <v>49490</v>
      </c>
      <c r="C153" s="46"/>
      <c r="D153" s="46"/>
      <c r="E153" s="279"/>
      <c r="F153" s="46" t="s">
        <v>316</v>
      </c>
      <c r="G153" s="279">
        <f t="shared" si="7"/>
        <v>16386.388685930371</v>
      </c>
      <c r="H153" s="46"/>
      <c r="I153" s="46"/>
    </row>
    <row r="154" spans="1:9" x14ac:dyDescent="0.25">
      <c r="A154" s="263">
        <v>16</v>
      </c>
      <c r="B154" s="278">
        <v>49856</v>
      </c>
      <c r="E154" s="2"/>
      <c r="F154" t="s">
        <v>317</v>
      </c>
      <c r="G154" s="2">
        <f t="shared" si="7"/>
        <v>16877.98034650828</v>
      </c>
    </row>
    <row r="155" spans="1:9" x14ac:dyDescent="0.25">
      <c r="A155" s="263">
        <v>17</v>
      </c>
      <c r="B155" s="278">
        <v>50221</v>
      </c>
      <c r="E155" s="2"/>
      <c r="F155" t="s">
        <v>318</v>
      </c>
      <c r="G155" s="2">
        <f t="shared" si="7"/>
        <v>17384.319756903529</v>
      </c>
    </row>
    <row r="156" spans="1:9" x14ac:dyDescent="0.25">
      <c r="A156" s="263">
        <v>18</v>
      </c>
      <c r="B156" s="278">
        <v>50586</v>
      </c>
      <c r="E156" s="2"/>
      <c r="F156" t="s">
        <v>319</v>
      </c>
      <c r="G156" s="2">
        <f t="shared" si="7"/>
        <v>17905.849349610635</v>
      </c>
    </row>
    <row r="157" spans="1:9" x14ac:dyDescent="0.25">
      <c r="A157" s="263">
        <v>19</v>
      </c>
      <c r="B157" s="278">
        <v>50951</v>
      </c>
      <c r="E157" s="2"/>
      <c r="F157" t="s">
        <v>320</v>
      </c>
      <c r="G157" s="2">
        <f t="shared" si="7"/>
        <v>18443.024830098955</v>
      </c>
    </row>
    <row r="158" spans="1:9" x14ac:dyDescent="0.25">
      <c r="A158" s="263">
        <v>20</v>
      </c>
      <c r="B158" s="278">
        <v>51317</v>
      </c>
      <c r="E158" s="2"/>
      <c r="F158" t="s">
        <v>321</v>
      </c>
      <c r="G158" s="2">
        <f t="shared" si="7"/>
        <v>18996.315575001925</v>
      </c>
    </row>
    <row r="159" spans="1:9" x14ac:dyDescent="0.25">
      <c r="A159" s="263">
        <v>21</v>
      </c>
      <c r="B159" s="278">
        <v>51682</v>
      </c>
      <c r="E159" s="2"/>
      <c r="F159" t="s">
        <v>322</v>
      </c>
      <c r="G159" s="2">
        <f t="shared" si="7"/>
        <v>19566.205042251982</v>
      </c>
    </row>
    <row r="160" spans="1:9" x14ac:dyDescent="0.25">
      <c r="A160" s="263">
        <v>22</v>
      </c>
      <c r="B160" s="278">
        <v>52047</v>
      </c>
      <c r="E160" s="2"/>
      <c r="F160" t="s">
        <v>323</v>
      </c>
      <c r="G160" s="2">
        <f t="shared" si="7"/>
        <v>20153.191193519542</v>
      </c>
    </row>
    <row r="161" spans="1:7" x14ac:dyDescent="0.25">
      <c r="A161" s="263">
        <v>23</v>
      </c>
      <c r="B161" s="278">
        <v>52412</v>
      </c>
      <c r="E161" s="2"/>
      <c r="F161" t="s">
        <v>324</v>
      </c>
      <c r="G161" s="2">
        <f t="shared" si="7"/>
        <v>20757.786929325128</v>
      </c>
    </row>
    <row r="162" spans="1:7" x14ac:dyDescent="0.25">
      <c r="A162" s="263">
        <v>24</v>
      </c>
      <c r="B162" s="278">
        <v>52778</v>
      </c>
      <c r="E162" s="2"/>
      <c r="F162" t="s">
        <v>325</v>
      </c>
      <c r="G162" s="2">
        <f t="shared" si="7"/>
        <v>21380.52053720488</v>
      </c>
    </row>
    <row r="163" spans="1:7" x14ac:dyDescent="0.25">
      <c r="A163" s="263">
        <v>25</v>
      </c>
      <c r="B163" s="278">
        <v>53143</v>
      </c>
      <c r="E163" s="2"/>
      <c r="F163" t="s">
        <v>326</v>
      </c>
      <c r="G163" s="2">
        <f t="shared" si="7"/>
        <v>22021.936153321025</v>
      </c>
    </row>
    <row r="164" spans="1:7" x14ac:dyDescent="0.25">
      <c r="B164" s="278"/>
      <c r="E164" s="2"/>
      <c r="G164" s="2"/>
    </row>
    <row r="165" spans="1:7" x14ac:dyDescent="0.25">
      <c r="B165" s="278"/>
      <c r="E165" s="2"/>
      <c r="G165" s="2">
        <f>SUM(G139:G164)</f>
        <v>394975.36348624417</v>
      </c>
    </row>
    <row r="174" spans="1:7" x14ac:dyDescent="0.25">
      <c r="D174" s="43" t="s">
        <v>332</v>
      </c>
      <c r="E174" s="43">
        <v>200</v>
      </c>
      <c r="F174" s="43">
        <v>300</v>
      </c>
    </row>
    <row r="175" spans="1:7" ht="15.75" thickBot="1" x14ac:dyDescent="0.3">
      <c r="C175" s="263">
        <v>1</v>
      </c>
      <c r="D175" s="46" t="s">
        <v>194</v>
      </c>
      <c r="E175" s="279">
        <f t="shared" ref="E175:E180" si="8">G139/2</f>
        <v>5416.666666666667</v>
      </c>
      <c r="F175" s="281">
        <f t="shared" ref="F175:F180" si="9">G139/2</f>
        <v>5416.666666666667</v>
      </c>
    </row>
    <row r="176" spans="1:7" ht="15.75" thickTop="1" x14ac:dyDescent="0.25">
      <c r="C176" s="263">
        <v>2</v>
      </c>
      <c r="D176" s="46" t="s">
        <v>303</v>
      </c>
      <c r="E176" s="279">
        <f t="shared" si="8"/>
        <v>5579.166666666667</v>
      </c>
      <c r="F176" s="279">
        <f t="shared" si="9"/>
        <v>5579.166666666667</v>
      </c>
    </row>
    <row r="177" spans="2:7" x14ac:dyDescent="0.25">
      <c r="C177" s="263">
        <v>3</v>
      </c>
      <c r="D177" s="46" t="s">
        <v>304</v>
      </c>
      <c r="E177" s="279">
        <f t="shared" si="8"/>
        <v>5746.541666666667</v>
      </c>
      <c r="F177" s="279">
        <f t="shared" si="9"/>
        <v>5746.541666666667</v>
      </c>
    </row>
    <row r="178" spans="2:7" x14ac:dyDescent="0.25">
      <c r="C178" s="263">
        <v>4</v>
      </c>
      <c r="D178" s="46" t="s">
        <v>305</v>
      </c>
      <c r="E178" s="279">
        <f t="shared" si="8"/>
        <v>5918.9379166666668</v>
      </c>
      <c r="F178" s="279">
        <f t="shared" si="9"/>
        <v>5918.9379166666668</v>
      </c>
    </row>
    <row r="179" spans="2:7" x14ac:dyDescent="0.25">
      <c r="C179" s="263">
        <v>5</v>
      </c>
      <c r="D179" s="46" t="s">
        <v>306</v>
      </c>
      <c r="E179" s="279">
        <f t="shared" si="8"/>
        <v>6096.5060541666671</v>
      </c>
      <c r="F179" s="279">
        <f t="shared" si="9"/>
        <v>6096.5060541666671</v>
      </c>
    </row>
    <row r="180" spans="2:7" x14ac:dyDescent="0.25">
      <c r="C180" s="263">
        <v>6</v>
      </c>
      <c r="D180" s="46" t="s">
        <v>307</v>
      </c>
      <c r="E180" s="279">
        <f t="shared" si="8"/>
        <v>6279.4012357916672</v>
      </c>
      <c r="F180" s="279">
        <f t="shared" si="9"/>
        <v>6279.4012357916672</v>
      </c>
    </row>
    <row r="181" spans="2:7" x14ac:dyDescent="0.25">
      <c r="B181" s="278"/>
      <c r="E181" s="2"/>
      <c r="G181" s="2"/>
    </row>
    <row r="182" spans="2:7" x14ac:dyDescent="0.25">
      <c r="B182" s="278"/>
      <c r="E182" s="2"/>
      <c r="G182" s="2"/>
    </row>
    <row r="183" spans="2:7" x14ac:dyDescent="0.25">
      <c r="B183" s="278"/>
      <c r="E183" s="2"/>
      <c r="G183" s="2"/>
    </row>
    <row r="184" spans="2:7" x14ac:dyDescent="0.25">
      <c r="B184" s="278"/>
      <c r="E184" s="2"/>
      <c r="G184" s="2"/>
    </row>
    <row r="185" spans="2:7" x14ac:dyDescent="0.25">
      <c r="B185" s="278"/>
      <c r="E185" s="2"/>
      <c r="G185" s="2"/>
    </row>
    <row r="186" spans="2:7" x14ac:dyDescent="0.25">
      <c r="B186" s="278"/>
      <c r="E186" s="2"/>
      <c r="G186" s="2"/>
    </row>
    <row r="187" spans="2:7" x14ac:dyDescent="0.25">
      <c r="B187" s="278"/>
      <c r="E187" s="2"/>
      <c r="G187" s="2"/>
    </row>
    <row r="188" spans="2:7" x14ac:dyDescent="0.25">
      <c r="B188" s="278"/>
      <c r="E188" s="2"/>
      <c r="G188" s="2"/>
    </row>
  </sheetData>
  <pageMargins left="0.7" right="0.7" top="0.75" bottom="0.75" header="0.3" footer="0.3"/>
  <pageSetup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00"/>
  <sheetViews>
    <sheetView workbookViewId="0">
      <selection activeCell="E29" sqref="E29"/>
    </sheetView>
  </sheetViews>
  <sheetFormatPr defaultRowHeight="15" x14ac:dyDescent="0.25"/>
  <cols>
    <col min="2" max="2" width="14.7109375" customWidth="1"/>
    <col min="3" max="3" width="13.28515625" customWidth="1"/>
    <col min="4" max="4" width="17.5703125" customWidth="1"/>
    <col min="5" max="5" width="17" customWidth="1"/>
    <col min="7" max="7" width="14.140625" customWidth="1"/>
    <col min="8" max="8" width="13.140625" customWidth="1"/>
  </cols>
  <sheetData>
    <row r="1" spans="1:9" ht="15.75" x14ac:dyDescent="0.25">
      <c r="A1" s="36" t="s">
        <v>346</v>
      </c>
      <c r="B1" s="36"/>
      <c r="C1" s="285"/>
      <c r="D1" s="60" t="s">
        <v>330</v>
      </c>
      <c r="E1" s="36" t="s">
        <v>331</v>
      </c>
      <c r="F1" s="36" t="s">
        <v>302</v>
      </c>
      <c r="G1" s="36"/>
      <c r="H1" s="36"/>
      <c r="I1" s="36"/>
    </row>
    <row r="2" spans="1:9" x14ac:dyDescent="0.25">
      <c r="A2" s="283" t="s">
        <v>328</v>
      </c>
      <c r="B2" s="282">
        <v>44377</v>
      </c>
      <c r="C2" s="46"/>
      <c r="D2" s="46"/>
      <c r="E2" s="279">
        <v>130000</v>
      </c>
      <c r="F2" s="46" t="s">
        <v>194</v>
      </c>
      <c r="G2" s="279">
        <f>E2/10</f>
        <v>13000</v>
      </c>
      <c r="H2" s="279"/>
      <c r="I2" s="46"/>
    </row>
    <row r="3" spans="1:9" x14ac:dyDescent="0.25">
      <c r="A3" s="46">
        <v>2</v>
      </c>
      <c r="B3" s="282">
        <v>44742</v>
      </c>
      <c r="C3" s="46"/>
      <c r="D3" s="46"/>
      <c r="E3" s="279"/>
      <c r="F3" s="46" t="s">
        <v>303</v>
      </c>
      <c r="G3" s="279">
        <f>G2*0.03 + G2</f>
        <v>13390</v>
      </c>
      <c r="H3" s="46"/>
      <c r="I3" s="46"/>
    </row>
    <row r="4" spans="1:9" x14ac:dyDescent="0.25">
      <c r="A4" s="46">
        <v>3</v>
      </c>
      <c r="B4" s="282">
        <v>45107</v>
      </c>
      <c r="C4" s="46"/>
      <c r="D4" s="46"/>
      <c r="E4" s="279"/>
      <c r="F4" s="46" t="s">
        <v>304</v>
      </c>
      <c r="G4" s="279">
        <f t="shared" ref="G4:G11" si="0">G3*0.03+G3</f>
        <v>13791.7</v>
      </c>
      <c r="H4" s="284"/>
      <c r="I4" s="46"/>
    </row>
    <row r="5" spans="1:9" x14ac:dyDescent="0.25">
      <c r="A5" s="46">
        <v>4</v>
      </c>
      <c r="B5" s="282">
        <v>45473</v>
      </c>
      <c r="C5" s="46"/>
      <c r="D5" s="46" t="s">
        <v>18</v>
      </c>
      <c r="E5" s="279"/>
      <c r="F5" s="46" t="s">
        <v>305</v>
      </c>
      <c r="G5" s="279">
        <f t="shared" si="0"/>
        <v>14205.451000000001</v>
      </c>
      <c r="H5" s="46"/>
      <c r="I5" s="46"/>
    </row>
    <row r="6" spans="1:9" x14ac:dyDescent="0.25">
      <c r="A6" s="46">
        <v>5</v>
      </c>
      <c r="B6" s="282">
        <v>45838</v>
      </c>
      <c r="C6" s="46"/>
      <c r="D6" s="46"/>
      <c r="E6" s="279"/>
      <c r="F6" s="46" t="s">
        <v>306</v>
      </c>
      <c r="G6" s="279">
        <f t="shared" si="0"/>
        <v>14631.614530000001</v>
      </c>
      <c r="H6" s="46"/>
      <c r="I6" s="46"/>
    </row>
    <row r="7" spans="1:9" x14ac:dyDescent="0.25">
      <c r="A7" s="46">
        <v>6</v>
      </c>
      <c r="B7" s="282">
        <v>46203</v>
      </c>
      <c r="C7" s="46"/>
      <c r="D7" s="46"/>
      <c r="E7" s="279"/>
      <c r="F7" s="46" t="s">
        <v>307</v>
      </c>
      <c r="G7" s="279">
        <f t="shared" si="0"/>
        <v>15070.562965900001</v>
      </c>
      <c r="H7" s="279"/>
      <c r="I7" s="46"/>
    </row>
    <row r="8" spans="1:9" x14ac:dyDescent="0.25">
      <c r="A8" s="46">
        <v>7</v>
      </c>
      <c r="B8" s="282">
        <v>46568</v>
      </c>
      <c r="C8" s="46"/>
      <c r="D8" s="46"/>
      <c r="E8" s="279"/>
      <c r="F8" s="46" t="s">
        <v>308</v>
      </c>
      <c r="G8" s="279">
        <f t="shared" si="0"/>
        <v>15522.679854877</v>
      </c>
      <c r="H8" s="46"/>
      <c r="I8" s="46"/>
    </row>
    <row r="9" spans="1:9" x14ac:dyDescent="0.25">
      <c r="A9" s="46">
        <v>8</v>
      </c>
      <c r="B9" s="282">
        <v>46934</v>
      </c>
      <c r="C9" s="46"/>
      <c r="D9" s="46"/>
      <c r="E9" s="279"/>
      <c r="F9" s="46" t="s">
        <v>309</v>
      </c>
      <c r="G9" s="279">
        <f t="shared" si="0"/>
        <v>15988.36025052331</v>
      </c>
      <c r="H9" s="46"/>
      <c r="I9" s="46"/>
    </row>
    <row r="10" spans="1:9" x14ac:dyDescent="0.25">
      <c r="A10" s="46">
        <v>9</v>
      </c>
      <c r="B10" s="282">
        <v>47299</v>
      </c>
      <c r="C10" s="46"/>
      <c r="D10" s="46"/>
      <c r="E10" s="279"/>
      <c r="F10" s="46" t="s">
        <v>310</v>
      </c>
      <c r="G10" s="279">
        <f t="shared" si="0"/>
        <v>16468.01105803901</v>
      </c>
      <c r="H10" s="46"/>
      <c r="I10" s="46"/>
    </row>
    <row r="11" spans="1:9" x14ac:dyDescent="0.25">
      <c r="A11" s="46">
        <v>10</v>
      </c>
      <c r="B11" s="282">
        <v>47664</v>
      </c>
      <c r="C11" s="46"/>
      <c r="D11" s="46"/>
      <c r="E11" s="279"/>
      <c r="F11" s="46" t="s">
        <v>311</v>
      </c>
      <c r="G11" s="279">
        <f t="shared" si="0"/>
        <v>16962.051389780179</v>
      </c>
      <c r="H11" s="46"/>
      <c r="I11" s="46"/>
    </row>
    <row r="12" spans="1:9" x14ac:dyDescent="0.25">
      <c r="A12">
        <v>11</v>
      </c>
      <c r="B12" s="278">
        <v>48029</v>
      </c>
      <c r="E12" s="2"/>
      <c r="F12" t="s">
        <v>312</v>
      </c>
      <c r="G12" s="2"/>
    </row>
    <row r="13" spans="1:9" x14ac:dyDescent="0.25">
      <c r="A13">
        <v>12</v>
      </c>
      <c r="B13" s="278">
        <v>48395</v>
      </c>
      <c r="E13" s="2"/>
      <c r="F13" t="s">
        <v>313</v>
      </c>
      <c r="G13" s="2">
        <f t="shared" ref="G13:G26" si="1">G12*0.03+G12</f>
        <v>0</v>
      </c>
    </row>
    <row r="14" spans="1:9" x14ac:dyDescent="0.25">
      <c r="A14">
        <v>13</v>
      </c>
      <c r="B14" s="278">
        <v>48760</v>
      </c>
      <c r="E14" s="2"/>
      <c r="F14" t="s">
        <v>314</v>
      </c>
      <c r="G14" s="2">
        <f t="shared" si="1"/>
        <v>0</v>
      </c>
    </row>
    <row r="15" spans="1:9" x14ac:dyDescent="0.25">
      <c r="A15">
        <v>14</v>
      </c>
      <c r="B15" s="278">
        <v>49125</v>
      </c>
      <c r="E15" s="2"/>
      <c r="F15" t="s">
        <v>315</v>
      </c>
      <c r="G15" s="2">
        <f t="shared" si="1"/>
        <v>0</v>
      </c>
    </row>
    <row r="16" spans="1:9" x14ac:dyDescent="0.25">
      <c r="A16">
        <v>15</v>
      </c>
      <c r="B16" s="278">
        <v>49490</v>
      </c>
      <c r="E16" s="2"/>
      <c r="F16" t="s">
        <v>316</v>
      </c>
      <c r="G16" s="2">
        <f t="shared" si="1"/>
        <v>0</v>
      </c>
    </row>
    <row r="17" spans="1:7" x14ac:dyDescent="0.25">
      <c r="A17">
        <v>16</v>
      </c>
      <c r="B17" s="278">
        <v>49856</v>
      </c>
      <c r="E17" s="2"/>
      <c r="F17" t="s">
        <v>317</v>
      </c>
      <c r="G17" s="2">
        <f t="shared" si="1"/>
        <v>0</v>
      </c>
    </row>
    <row r="18" spans="1:7" x14ac:dyDescent="0.25">
      <c r="A18">
        <v>17</v>
      </c>
      <c r="B18" s="278">
        <v>50221</v>
      </c>
      <c r="E18" s="2"/>
      <c r="F18" t="s">
        <v>318</v>
      </c>
      <c r="G18" s="2">
        <f t="shared" si="1"/>
        <v>0</v>
      </c>
    </row>
    <row r="19" spans="1:7" x14ac:dyDescent="0.25">
      <c r="A19">
        <v>18</v>
      </c>
      <c r="B19" s="278">
        <v>50586</v>
      </c>
      <c r="E19" s="2"/>
      <c r="F19" t="s">
        <v>319</v>
      </c>
      <c r="G19" s="2">
        <f t="shared" si="1"/>
        <v>0</v>
      </c>
    </row>
    <row r="20" spans="1:7" x14ac:dyDescent="0.25">
      <c r="A20">
        <v>19</v>
      </c>
      <c r="B20" s="278">
        <v>50951</v>
      </c>
      <c r="E20" s="2"/>
      <c r="F20" t="s">
        <v>320</v>
      </c>
      <c r="G20" s="2">
        <f t="shared" si="1"/>
        <v>0</v>
      </c>
    </row>
    <row r="21" spans="1:7" x14ac:dyDescent="0.25">
      <c r="A21">
        <v>20</v>
      </c>
      <c r="B21" s="278">
        <v>51317</v>
      </c>
      <c r="E21" s="2"/>
      <c r="F21" t="s">
        <v>321</v>
      </c>
      <c r="G21" s="2">
        <f t="shared" si="1"/>
        <v>0</v>
      </c>
    </row>
    <row r="22" spans="1:7" x14ac:dyDescent="0.25">
      <c r="A22">
        <v>21</v>
      </c>
      <c r="B22" s="278">
        <v>51682</v>
      </c>
      <c r="E22" s="2"/>
      <c r="F22" t="s">
        <v>322</v>
      </c>
      <c r="G22" s="2">
        <f t="shared" si="1"/>
        <v>0</v>
      </c>
    </row>
    <row r="23" spans="1:7" x14ac:dyDescent="0.25">
      <c r="A23">
        <v>22</v>
      </c>
      <c r="B23" s="278">
        <v>52047</v>
      </c>
      <c r="E23" s="2"/>
      <c r="F23" t="s">
        <v>323</v>
      </c>
      <c r="G23" s="2">
        <f t="shared" si="1"/>
        <v>0</v>
      </c>
    </row>
    <row r="24" spans="1:7" x14ac:dyDescent="0.25">
      <c r="A24">
        <v>23</v>
      </c>
      <c r="B24" s="278">
        <v>52412</v>
      </c>
      <c r="E24" s="2"/>
      <c r="F24" t="s">
        <v>324</v>
      </c>
      <c r="G24" s="2">
        <f t="shared" si="1"/>
        <v>0</v>
      </c>
    </row>
    <row r="25" spans="1:7" x14ac:dyDescent="0.25">
      <c r="A25">
        <v>24</v>
      </c>
      <c r="B25" s="278">
        <v>52778</v>
      </c>
      <c r="E25" s="2"/>
      <c r="F25" t="s">
        <v>325</v>
      </c>
      <c r="G25" s="2">
        <f t="shared" si="1"/>
        <v>0</v>
      </c>
    </row>
    <row r="26" spans="1:7" x14ac:dyDescent="0.25">
      <c r="A26">
        <v>25</v>
      </c>
      <c r="B26" s="278">
        <v>53143</v>
      </c>
      <c r="E26" s="2"/>
      <c r="F26" t="s">
        <v>326</v>
      </c>
      <c r="G26" s="2">
        <f t="shared" si="1"/>
        <v>0</v>
      </c>
    </row>
    <row r="27" spans="1:7" ht="13.5" customHeight="1" x14ac:dyDescent="0.25">
      <c r="B27" s="278"/>
      <c r="E27" s="2"/>
      <c r="G27" s="2"/>
    </row>
    <row r="28" spans="1:7" x14ac:dyDescent="0.25">
      <c r="B28" s="278"/>
      <c r="E28" s="2"/>
      <c r="G28" s="2">
        <f>SUM(G2:G27)</f>
        <v>149030.43104911951</v>
      </c>
    </row>
    <row r="29" spans="1:7" x14ac:dyDescent="0.25">
      <c r="B29" s="278"/>
      <c r="E29" s="2"/>
      <c r="G29" s="2"/>
    </row>
    <row r="30" spans="1:7" x14ac:dyDescent="0.25">
      <c r="B30" s="278"/>
      <c r="E30" s="2"/>
      <c r="G30" s="2"/>
    </row>
    <row r="31" spans="1:7" x14ac:dyDescent="0.25">
      <c r="B31" s="278"/>
      <c r="E31" s="2"/>
      <c r="G31" s="2"/>
    </row>
    <row r="32" spans="1:7" x14ac:dyDescent="0.25">
      <c r="B32" s="278"/>
      <c r="E32" s="2"/>
      <c r="G32" s="2"/>
    </row>
    <row r="33" spans="2:7" x14ac:dyDescent="0.25">
      <c r="B33" s="278"/>
      <c r="E33" s="2"/>
      <c r="G33" s="2"/>
    </row>
    <row r="34" spans="2:7" x14ac:dyDescent="0.25">
      <c r="B34" s="278"/>
      <c r="E34" s="2"/>
      <c r="G34" s="2"/>
    </row>
    <row r="35" spans="2:7" x14ac:dyDescent="0.25">
      <c r="B35" s="278"/>
      <c r="E35" s="2"/>
      <c r="G35" s="2"/>
    </row>
    <row r="36" spans="2:7" x14ac:dyDescent="0.25">
      <c r="B36" s="278"/>
      <c r="E36" s="2"/>
      <c r="G36" s="2"/>
    </row>
    <row r="37" spans="2:7" x14ac:dyDescent="0.25">
      <c r="B37" s="278"/>
      <c r="D37" s="36" t="s">
        <v>332</v>
      </c>
      <c r="E37" s="36">
        <v>400</v>
      </c>
      <c r="G37" s="2"/>
    </row>
    <row r="38" spans="2:7" x14ac:dyDescent="0.25">
      <c r="B38" s="278"/>
      <c r="D38" s="43" t="s">
        <v>302</v>
      </c>
      <c r="E38" s="43"/>
      <c r="G38" s="2"/>
    </row>
    <row r="39" spans="2:7" x14ac:dyDescent="0.25">
      <c r="B39" s="278"/>
      <c r="D39" s="43" t="s">
        <v>194</v>
      </c>
      <c r="E39" s="279">
        <f>G2</f>
        <v>13000</v>
      </c>
      <c r="G39" s="2"/>
    </row>
    <row r="40" spans="2:7" x14ac:dyDescent="0.25">
      <c r="B40" s="278"/>
      <c r="D40" s="43" t="s">
        <v>303</v>
      </c>
      <c r="E40" s="279">
        <f>E39*0.03 + E39</f>
        <v>13390</v>
      </c>
      <c r="G40" s="2"/>
    </row>
    <row r="41" spans="2:7" x14ac:dyDescent="0.25">
      <c r="B41" s="278"/>
      <c r="D41" s="43" t="s">
        <v>304</v>
      </c>
      <c r="E41" s="279">
        <f t="shared" ref="E41:E48" si="2">E40*0.03+E40</f>
        <v>13791.7</v>
      </c>
      <c r="G41" s="2"/>
    </row>
    <row r="42" spans="2:7" x14ac:dyDescent="0.25">
      <c r="B42" s="278"/>
      <c r="D42" s="43" t="s">
        <v>305</v>
      </c>
      <c r="E42" s="279">
        <f t="shared" si="2"/>
        <v>14205.451000000001</v>
      </c>
      <c r="G42" s="2"/>
    </row>
    <row r="43" spans="2:7" x14ac:dyDescent="0.25">
      <c r="B43" s="278"/>
      <c r="D43" s="43" t="s">
        <v>306</v>
      </c>
      <c r="E43" s="279">
        <f t="shared" si="2"/>
        <v>14631.614530000001</v>
      </c>
      <c r="G43" s="2"/>
    </row>
    <row r="44" spans="2:7" x14ac:dyDescent="0.25">
      <c r="B44" s="278"/>
      <c r="D44" s="43" t="s">
        <v>307</v>
      </c>
      <c r="E44" s="279">
        <f t="shared" si="2"/>
        <v>15070.562965900001</v>
      </c>
      <c r="G44" s="2"/>
    </row>
    <row r="45" spans="2:7" x14ac:dyDescent="0.25">
      <c r="B45" s="278"/>
      <c r="D45" s="43" t="s">
        <v>308</v>
      </c>
      <c r="E45" s="279">
        <f t="shared" si="2"/>
        <v>15522.679854877</v>
      </c>
      <c r="G45" s="2"/>
    </row>
    <row r="46" spans="2:7" x14ac:dyDescent="0.25">
      <c r="B46" s="278"/>
      <c r="D46" s="43" t="s">
        <v>309</v>
      </c>
      <c r="E46" s="279">
        <f t="shared" si="2"/>
        <v>15988.36025052331</v>
      </c>
      <c r="G46" s="2"/>
    </row>
    <row r="47" spans="2:7" x14ac:dyDescent="0.25">
      <c r="B47" s="278"/>
      <c r="D47" s="43" t="s">
        <v>310</v>
      </c>
      <c r="E47" s="279">
        <f t="shared" si="2"/>
        <v>16468.01105803901</v>
      </c>
      <c r="G47" s="2"/>
    </row>
    <row r="48" spans="2:7" x14ac:dyDescent="0.25">
      <c r="B48" s="278"/>
      <c r="D48" s="43" t="s">
        <v>311</v>
      </c>
      <c r="E48" s="279">
        <f t="shared" si="2"/>
        <v>16962.051389780179</v>
      </c>
      <c r="G48" s="2"/>
    </row>
    <row r="49" spans="2:7" x14ac:dyDescent="0.25">
      <c r="B49" s="278"/>
      <c r="E49" s="2"/>
      <c r="G49" s="2"/>
    </row>
    <row r="50" spans="2:7" x14ac:dyDescent="0.25">
      <c r="B50" s="278"/>
      <c r="E50" s="2"/>
      <c r="G50" s="2"/>
    </row>
    <row r="51" spans="2:7" x14ac:dyDescent="0.25">
      <c r="B51" s="278"/>
      <c r="E51" s="2"/>
      <c r="G51" s="2"/>
    </row>
    <row r="52" spans="2:7" x14ac:dyDescent="0.25">
      <c r="B52" s="278"/>
      <c r="E52" s="2"/>
      <c r="G52" s="2"/>
    </row>
    <row r="53" spans="2:7" x14ac:dyDescent="0.25">
      <c r="B53" s="278"/>
      <c r="E53" s="2"/>
      <c r="G53" s="2"/>
    </row>
    <row r="54" spans="2:7" x14ac:dyDescent="0.25">
      <c r="B54" s="278"/>
      <c r="E54" s="2"/>
      <c r="G54" s="2"/>
    </row>
    <row r="55" spans="2:7" x14ac:dyDescent="0.25">
      <c r="B55" s="278"/>
      <c r="E55" s="2"/>
      <c r="G55" s="2"/>
    </row>
    <row r="56" spans="2:7" x14ac:dyDescent="0.25">
      <c r="B56" s="278"/>
      <c r="E56" s="2"/>
      <c r="G56" s="2"/>
    </row>
    <row r="57" spans="2:7" x14ac:dyDescent="0.25">
      <c r="B57" s="278"/>
      <c r="E57" s="2"/>
      <c r="G57" s="2"/>
    </row>
    <row r="58" spans="2:7" x14ac:dyDescent="0.25">
      <c r="B58" s="278"/>
      <c r="E58" s="2"/>
      <c r="G58" s="2"/>
    </row>
    <row r="59" spans="2:7" x14ac:dyDescent="0.25">
      <c r="B59" s="278"/>
      <c r="E59" s="2"/>
      <c r="G59" s="2"/>
    </row>
    <row r="60" spans="2:7" x14ac:dyDescent="0.25">
      <c r="B60" s="278"/>
      <c r="E60" s="2"/>
      <c r="G60" s="2"/>
    </row>
    <row r="61" spans="2:7" x14ac:dyDescent="0.25">
      <c r="B61" s="278"/>
      <c r="E61" s="2"/>
      <c r="G61" s="2"/>
    </row>
    <row r="62" spans="2:7" x14ac:dyDescent="0.25">
      <c r="B62" s="278"/>
      <c r="E62" s="2"/>
      <c r="G62" s="2"/>
    </row>
    <row r="63" spans="2:7" x14ac:dyDescent="0.25">
      <c r="B63" s="278"/>
      <c r="E63" s="2"/>
      <c r="G63" s="2"/>
    </row>
    <row r="64" spans="2:7" x14ac:dyDescent="0.25">
      <c r="B64" s="278"/>
      <c r="E64" s="2"/>
      <c r="G64" s="2"/>
    </row>
    <row r="65" spans="2:7" x14ac:dyDescent="0.25">
      <c r="B65" s="278"/>
      <c r="E65" s="2"/>
      <c r="G65" s="2"/>
    </row>
    <row r="66" spans="2:7" x14ac:dyDescent="0.25">
      <c r="B66" s="278"/>
      <c r="E66" s="2"/>
      <c r="G66" s="2"/>
    </row>
    <row r="67" spans="2:7" x14ac:dyDescent="0.25">
      <c r="B67" s="278"/>
      <c r="E67" s="2"/>
      <c r="G67" s="2"/>
    </row>
    <row r="68" spans="2:7" x14ac:dyDescent="0.25">
      <c r="B68" s="278"/>
      <c r="E68" s="2"/>
      <c r="G68" s="2"/>
    </row>
    <row r="69" spans="2:7" x14ac:dyDescent="0.25">
      <c r="B69" s="278"/>
      <c r="E69" s="2"/>
      <c r="G69" s="2"/>
    </row>
    <row r="70" spans="2:7" x14ac:dyDescent="0.25">
      <c r="B70" s="278"/>
      <c r="E70" s="2"/>
      <c r="G70" s="2"/>
    </row>
    <row r="71" spans="2:7" x14ac:dyDescent="0.25">
      <c r="B71" s="278"/>
      <c r="E71" s="2"/>
      <c r="G71" s="2"/>
    </row>
    <row r="72" spans="2:7" x14ac:dyDescent="0.25">
      <c r="B72" s="278"/>
      <c r="E72" s="2"/>
      <c r="G72" s="2"/>
    </row>
    <row r="73" spans="2:7" x14ac:dyDescent="0.25">
      <c r="B73" s="278"/>
      <c r="E73" s="2"/>
      <c r="G73" s="2"/>
    </row>
    <row r="74" spans="2:7" x14ac:dyDescent="0.25">
      <c r="B74" s="278"/>
      <c r="E74" s="2"/>
      <c r="G74" s="2"/>
    </row>
    <row r="75" spans="2:7" x14ac:dyDescent="0.25">
      <c r="B75" s="278"/>
      <c r="E75" s="2"/>
      <c r="G75" s="2"/>
    </row>
    <row r="76" spans="2:7" x14ac:dyDescent="0.25">
      <c r="B76" s="278"/>
      <c r="E76" s="2"/>
      <c r="G76" s="2"/>
    </row>
    <row r="77" spans="2:7" x14ac:dyDescent="0.25">
      <c r="B77" s="278"/>
      <c r="E77" s="2"/>
      <c r="G77" s="2"/>
    </row>
    <row r="78" spans="2:7" x14ac:dyDescent="0.25">
      <c r="B78" s="278"/>
      <c r="E78" s="2"/>
      <c r="G78" s="2"/>
    </row>
    <row r="79" spans="2:7" x14ac:dyDescent="0.25">
      <c r="B79" s="278"/>
      <c r="E79" s="2"/>
      <c r="G79" s="2"/>
    </row>
    <row r="80" spans="2:7" x14ac:dyDescent="0.25">
      <c r="B80" s="278"/>
      <c r="E80" s="2"/>
      <c r="G80" s="2"/>
    </row>
    <row r="81" spans="2:7" x14ac:dyDescent="0.25">
      <c r="B81" s="278"/>
      <c r="E81" s="2"/>
      <c r="G81" s="2"/>
    </row>
    <row r="82" spans="2:7" x14ac:dyDescent="0.25">
      <c r="B82" s="278"/>
      <c r="E82" s="2"/>
      <c r="G82" s="2"/>
    </row>
    <row r="83" spans="2:7" x14ac:dyDescent="0.25">
      <c r="B83" s="278"/>
      <c r="E83" s="2"/>
      <c r="G83" s="2"/>
    </row>
    <row r="84" spans="2:7" x14ac:dyDescent="0.25">
      <c r="B84" s="278"/>
      <c r="E84" s="2"/>
      <c r="G84" s="2"/>
    </row>
    <row r="85" spans="2:7" x14ac:dyDescent="0.25">
      <c r="B85" s="278"/>
      <c r="E85" s="2"/>
      <c r="G85" s="2"/>
    </row>
    <row r="86" spans="2:7" x14ac:dyDescent="0.25">
      <c r="B86" s="278"/>
      <c r="E86" s="2"/>
      <c r="G86" s="2"/>
    </row>
    <row r="87" spans="2:7" x14ac:dyDescent="0.25">
      <c r="B87" s="278"/>
      <c r="E87" s="2"/>
      <c r="G87" s="2"/>
    </row>
    <row r="88" spans="2:7" x14ac:dyDescent="0.25">
      <c r="B88" s="278"/>
      <c r="E88" s="2"/>
      <c r="G88" s="2"/>
    </row>
    <row r="89" spans="2:7" x14ac:dyDescent="0.25">
      <c r="B89" s="278"/>
      <c r="E89" s="2"/>
      <c r="G89" s="2"/>
    </row>
    <row r="90" spans="2:7" x14ac:dyDescent="0.25">
      <c r="B90" s="278"/>
      <c r="E90" s="2"/>
      <c r="G90" s="2"/>
    </row>
    <row r="91" spans="2:7" x14ac:dyDescent="0.25">
      <c r="B91" s="278"/>
      <c r="E91" s="2"/>
      <c r="G91" s="2"/>
    </row>
    <row r="92" spans="2:7" x14ac:dyDescent="0.25">
      <c r="B92" s="278"/>
      <c r="E92" s="2"/>
      <c r="G92" s="2"/>
    </row>
    <row r="98" spans="1:10" x14ac:dyDescent="0.25">
      <c r="B98" s="278"/>
    </row>
    <row r="104" spans="1:10" x14ac:dyDescent="0.25">
      <c r="B104" s="278"/>
    </row>
    <row r="105" spans="1:10" ht="15.75" x14ac:dyDescent="0.25">
      <c r="A105" s="36" t="s">
        <v>345</v>
      </c>
      <c r="B105" s="36"/>
      <c r="C105" s="285"/>
      <c r="D105" s="60" t="s">
        <v>330</v>
      </c>
      <c r="E105" s="36" t="s">
        <v>331</v>
      </c>
      <c r="F105" s="36" t="s">
        <v>302</v>
      </c>
      <c r="G105" s="36"/>
      <c r="H105" s="36"/>
      <c r="I105" s="36"/>
    </row>
    <row r="106" spans="1:10" x14ac:dyDescent="0.25">
      <c r="A106" s="46">
        <v>1</v>
      </c>
      <c r="B106" s="282">
        <v>44377</v>
      </c>
      <c r="C106" s="46"/>
      <c r="D106" s="46"/>
      <c r="E106" s="279">
        <v>180000</v>
      </c>
      <c r="F106" s="46" t="s">
        <v>194</v>
      </c>
      <c r="G106" s="279">
        <f>E106/10</f>
        <v>18000</v>
      </c>
      <c r="H106" s="279"/>
      <c r="I106" s="46"/>
      <c r="J106" s="18"/>
    </row>
    <row r="107" spans="1:10" x14ac:dyDescent="0.25">
      <c r="A107" s="46">
        <v>2</v>
      </c>
      <c r="B107" s="282">
        <v>44742</v>
      </c>
      <c r="C107" s="46"/>
      <c r="D107" s="46"/>
      <c r="E107" s="279"/>
      <c r="F107" s="46" t="s">
        <v>303</v>
      </c>
      <c r="G107" s="279">
        <f>G106*0.03 + G106</f>
        <v>18540</v>
      </c>
      <c r="H107" s="46"/>
      <c r="I107" s="46"/>
      <c r="J107" s="18"/>
    </row>
    <row r="108" spans="1:10" x14ac:dyDescent="0.25">
      <c r="A108" s="46">
        <v>3</v>
      </c>
      <c r="B108" s="282">
        <v>45107</v>
      </c>
      <c r="C108" s="46"/>
      <c r="D108" s="46"/>
      <c r="E108" s="279"/>
      <c r="F108" s="46" t="s">
        <v>304</v>
      </c>
      <c r="G108" s="279">
        <f t="shared" ref="G108:G115" si="3">G107*0.03+G107</f>
        <v>19096.2</v>
      </c>
      <c r="H108" s="284"/>
      <c r="I108" s="46"/>
      <c r="J108" s="235"/>
    </row>
    <row r="109" spans="1:10" x14ac:dyDescent="0.25">
      <c r="A109" s="46">
        <v>4</v>
      </c>
      <c r="B109" s="282">
        <v>45473</v>
      </c>
      <c r="C109" s="46"/>
      <c r="D109" s="46" t="s">
        <v>18</v>
      </c>
      <c r="E109" s="279"/>
      <c r="F109" s="46" t="s">
        <v>305</v>
      </c>
      <c r="G109" s="279">
        <f t="shared" si="3"/>
        <v>19669.085999999999</v>
      </c>
      <c r="H109" s="46"/>
      <c r="I109" s="46"/>
      <c r="J109" s="235"/>
    </row>
    <row r="110" spans="1:10" x14ac:dyDescent="0.25">
      <c r="A110" s="46">
        <v>5</v>
      </c>
      <c r="B110" s="282">
        <v>45838</v>
      </c>
      <c r="C110" s="46"/>
      <c r="D110" s="46"/>
      <c r="E110" s="279"/>
      <c r="F110" s="46" t="s">
        <v>306</v>
      </c>
      <c r="G110" s="279">
        <f t="shared" si="3"/>
        <v>20259.158579999999</v>
      </c>
      <c r="H110" s="46"/>
      <c r="I110" s="46"/>
      <c r="J110" s="235"/>
    </row>
    <row r="111" spans="1:10" x14ac:dyDescent="0.25">
      <c r="A111" s="46">
        <v>6</v>
      </c>
      <c r="B111" s="282">
        <v>46203</v>
      </c>
      <c r="C111" s="46"/>
      <c r="D111" s="46"/>
      <c r="E111" s="279"/>
      <c r="F111" s="46" t="s">
        <v>307</v>
      </c>
      <c r="G111" s="279">
        <f t="shared" si="3"/>
        <v>20866.933337399998</v>
      </c>
      <c r="H111" s="279"/>
      <c r="I111" s="46"/>
      <c r="J111" s="235"/>
    </row>
    <row r="112" spans="1:10" x14ac:dyDescent="0.25">
      <c r="A112" s="46">
        <v>7</v>
      </c>
      <c r="B112" s="282">
        <v>46568</v>
      </c>
      <c r="C112" s="46"/>
      <c r="D112" s="46"/>
      <c r="E112" s="279"/>
      <c r="F112" s="46" t="s">
        <v>308</v>
      </c>
      <c r="G112" s="279">
        <f t="shared" si="3"/>
        <v>21492.941337521999</v>
      </c>
      <c r="H112" s="46"/>
      <c r="I112" s="46"/>
      <c r="J112" s="235"/>
    </row>
    <row r="113" spans="1:10" x14ac:dyDescent="0.25">
      <c r="A113" s="46">
        <v>8</v>
      </c>
      <c r="B113" s="282">
        <v>46934</v>
      </c>
      <c r="C113" s="46"/>
      <c r="D113" s="46"/>
      <c r="E113" s="279"/>
      <c r="F113" s="46" t="s">
        <v>309</v>
      </c>
      <c r="G113" s="279">
        <f t="shared" si="3"/>
        <v>22137.72957764766</v>
      </c>
      <c r="H113" s="46"/>
      <c r="I113" s="46"/>
      <c r="J113" s="235"/>
    </row>
    <row r="114" spans="1:10" x14ac:dyDescent="0.25">
      <c r="A114" s="46">
        <v>9</v>
      </c>
      <c r="B114" s="282">
        <v>47299</v>
      </c>
      <c r="C114" s="46"/>
      <c r="D114" s="46"/>
      <c r="E114" s="279"/>
      <c r="F114" s="46" t="s">
        <v>310</v>
      </c>
      <c r="G114" s="279">
        <f t="shared" si="3"/>
        <v>22801.86146497709</v>
      </c>
      <c r="H114" s="46"/>
      <c r="I114" s="46"/>
      <c r="J114" s="235"/>
    </row>
    <row r="115" spans="1:10" x14ac:dyDescent="0.25">
      <c r="A115" s="46">
        <v>10</v>
      </c>
      <c r="B115" s="282">
        <v>47664</v>
      </c>
      <c r="C115" s="46"/>
      <c r="D115" s="46"/>
      <c r="E115" s="279"/>
      <c r="F115" s="46" t="s">
        <v>311</v>
      </c>
      <c r="G115" s="279">
        <f t="shared" si="3"/>
        <v>23485.917308926404</v>
      </c>
      <c r="H115" s="46"/>
      <c r="I115" s="46"/>
      <c r="J115" s="235"/>
    </row>
    <row r="116" spans="1:10" x14ac:dyDescent="0.25">
      <c r="A116">
        <v>11</v>
      </c>
      <c r="B116" s="278">
        <v>48029</v>
      </c>
      <c r="E116" s="2"/>
      <c r="F116" t="s">
        <v>312</v>
      </c>
      <c r="G116" s="2"/>
      <c r="J116" s="235"/>
    </row>
    <row r="117" spans="1:10" x14ac:dyDescent="0.25">
      <c r="A117">
        <v>12</v>
      </c>
      <c r="B117" s="278">
        <v>48395</v>
      </c>
      <c r="E117" s="2"/>
      <c r="F117" t="s">
        <v>313</v>
      </c>
      <c r="G117" s="2">
        <f t="shared" ref="G117:G130" si="4">G116*0.03+G116</f>
        <v>0</v>
      </c>
      <c r="J117" s="235"/>
    </row>
    <row r="118" spans="1:10" x14ac:dyDescent="0.25">
      <c r="A118">
        <v>13</v>
      </c>
      <c r="B118" s="278">
        <v>48760</v>
      </c>
      <c r="E118" s="2"/>
      <c r="F118" t="s">
        <v>314</v>
      </c>
      <c r="G118" s="2">
        <f t="shared" si="4"/>
        <v>0</v>
      </c>
    </row>
    <row r="119" spans="1:10" x14ac:dyDescent="0.25">
      <c r="A119">
        <v>14</v>
      </c>
      <c r="B119" s="278">
        <v>49125</v>
      </c>
      <c r="E119" s="2"/>
      <c r="F119" t="s">
        <v>315</v>
      </c>
      <c r="G119" s="2">
        <f t="shared" si="4"/>
        <v>0</v>
      </c>
    </row>
    <row r="120" spans="1:10" x14ac:dyDescent="0.25">
      <c r="A120">
        <v>15</v>
      </c>
      <c r="B120" s="278">
        <v>49490</v>
      </c>
      <c r="E120" s="2"/>
      <c r="F120" t="s">
        <v>316</v>
      </c>
      <c r="G120" s="2">
        <f t="shared" si="4"/>
        <v>0</v>
      </c>
    </row>
    <row r="121" spans="1:10" x14ac:dyDescent="0.25">
      <c r="A121">
        <v>16</v>
      </c>
      <c r="B121" s="278">
        <v>49856</v>
      </c>
      <c r="E121" s="2"/>
      <c r="F121" t="s">
        <v>317</v>
      </c>
      <c r="G121" s="2">
        <f t="shared" si="4"/>
        <v>0</v>
      </c>
    </row>
    <row r="122" spans="1:10" x14ac:dyDescent="0.25">
      <c r="A122">
        <v>17</v>
      </c>
      <c r="B122" s="278">
        <v>50221</v>
      </c>
      <c r="E122" s="2"/>
      <c r="F122" t="s">
        <v>318</v>
      </c>
      <c r="G122" s="2">
        <f t="shared" si="4"/>
        <v>0</v>
      </c>
    </row>
    <row r="123" spans="1:10" x14ac:dyDescent="0.25">
      <c r="A123">
        <v>18</v>
      </c>
      <c r="B123" s="278">
        <v>50586</v>
      </c>
      <c r="E123" s="2"/>
      <c r="F123" t="s">
        <v>319</v>
      </c>
      <c r="G123" s="2">
        <f t="shared" si="4"/>
        <v>0</v>
      </c>
    </row>
    <row r="124" spans="1:10" x14ac:dyDescent="0.25">
      <c r="A124">
        <v>19</v>
      </c>
      <c r="B124" s="278">
        <v>50951</v>
      </c>
      <c r="E124" s="2"/>
      <c r="F124" t="s">
        <v>320</v>
      </c>
      <c r="G124" s="2">
        <f t="shared" si="4"/>
        <v>0</v>
      </c>
    </row>
    <row r="125" spans="1:10" x14ac:dyDescent="0.25">
      <c r="A125">
        <v>20</v>
      </c>
      <c r="B125" s="278">
        <v>51317</v>
      </c>
      <c r="E125" s="2"/>
      <c r="F125" t="s">
        <v>321</v>
      </c>
      <c r="G125" s="2">
        <f t="shared" si="4"/>
        <v>0</v>
      </c>
    </row>
    <row r="126" spans="1:10" x14ac:dyDescent="0.25">
      <c r="A126">
        <v>21</v>
      </c>
      <c r="B126" s="278">
        <v>51682</v>
      </c>
      <c r="E126" s="2"/>
      <c r="F126" t="s">
        <v>322</v>
      </c>
      <c r="G126" s="2">
        <f t="shared" si="4"/>
        <v>0</v>
      </c>
    </row>
    <row r="127" spans="1:10" x14ac:dyDescent="0.25">
      <c r="A127">
        <v>22</v>
      </c>
      <c r="B127" s="278">
        <v>52047</v>
      </c>
      <c r="E127" s="2"/>
      <c r="F127" t="s">
        <v>323</v>
      </c>
      <c r="G127" s="2">
        <f t="shared" si="4"/>
        <v>0</v>
      </c>
    </row>
    <row r="128" spans="1:10" x14ac:dyDescent="0.25">
      <c r="A128">
        <v>23</v>
      </c>
      <c r="B128" s="278">
        <v>52412</v>
      </c>
      <c r="E128" s="2"/>
      <c r="F128" t="s">
        <v>324</v>
      </c>
      <c r="G128" s="2">
        <f t="shared" si="4"/>
        <v>0</v>
      </c>
    </row>
    <row r="129" spans="1:7" x14ac:dyDescent="0.25">
      <c r="A129">
        <v>24</v>
      </c>
      <c r="B129" s="278">
        <v>52778</v>
      </c>
      <c r="E129" s="2"/>
      <c r="F129" t="s">
        <v>325</v>
      </c>
      <c r="G129" s="2">
        <f t="shared" si="4"/>
        <v>0</v>
      </c>
    </row>
    <row r="130" spans="1:7" x14ac:dyDescent="0.25">
      <c r="A130">
        <v>25</v>
      </c>
      <c r="B130" s="278">
        <v>53143</v>
      </c>
      <c r="E130" s="2"/>
      <c r="F130" t="s">
        <v>326</v>
      </c>
      <c r="G130" s="2">
        <f t="shared" si="4"/>
        <v>0</v>
      </c>
    </row>
    <row r="131" spans="1:7" x14ac:dyDescent="0.25">
      <c r="B131" s="278"/>
      <c r="E131" s="2"/>
      <c r="G131" s="2"/>
    </row>
    <row r="132" spans="1:7" x14ac:dyDescent="0.25">
      <c r="B132" s="278"/>
      <c r="E132" s="2"/>
      <c r="G132" s="2">
        <f>SUM(G106:G131)</f>
        <v>206349.82760647315</v>
      </c>
    </row>
    <row r="133" spans="1:7" x14ac:dyDescent="0.25">
      <c r="B133" s="278"/>
      <c r="E133" s="2"/>
      <c r="G133" s="2"/>
    </row>
    <row r="134" spans="1:7" x14ac:dyDescent="0.25">
      <c r="B134" s="278"/>
      <c r="E134" s="2"/>
      <c r="G134" s="2"/>
    </row>
    <row r="135" spans="1:7" x14ac:dyDescent="0.25">
      <c r="B135" s="278"/>
      <c r="E135" s="2"/>
      <c r="G135" s="2"/>
    </row>
    <row r="136" spans="1:7" x14ac:dyDescent="0.25">
      <c r="B136" s="278"/>
      <c r="E136" s="2"/>
      <c r="G136" s="2"/>
    </row>
    <row r="137" spans="1:7" x14ac:dyDescent="0.25">
      <c r="B137" s="278"/>
      <c r="E137" s="2"/>
      <c r="G137" s="2"/>
    </row>
    <row r="138" spans="1:7" x14ac:dyDescent="0.25">
      <c r="B138" s="278"/>
      <c r="E138" s="2"/>
      <c r="G138" s="2"/>
    </row>
    <row r="139" spans="1:7" x14ac:dyDescent="0.25">
      <c r="B139" s="278"/>
      <c r="E139" s="2"/>
      <c r="G139" s="2"/>
    </row>
    <row r="140" spans="1:7" x14ac:dyDescent="0.25">
      <c r="B140" s="278"/>
      <c r="D140" s="36" t="s">
        <v>332</v>
      </c>
      <c r="E140" s="36">
        <v>600</v>
      </c>
      <c r="G140" s="2"/>
    </row>
    <row r="141" spans="1:7" x14ac:dyDescent="0.25">
      <c r="B141" s="278"/>
      <c r="D141" s="43" t="s">
        <v>302</v>
      </c>
      <c r="E141" s="43"/>
      <c r="G141" s="2"/>
    </row>
    <row r="142" spans="1:7" x14ac:dyDescent="0.25">
      <c r="B142" s="278"/>
      <c r="D142" s="43" t="s">
        <v>194</v>
      </c>
      <c r="E142" s="279">
        <f>G106</f>
        <v>18000</v>
      </c>
      <c r="G142" s="2"/>
    </row>
    <row r="143" spans="1:7" x14ac:dyDescent="0.25">
      <c r="B143" s="278"/>
      <c r="D143" s="43" t="s">
        <v>303</v>
      </c>
      <c r="E143" s="279">
        <f>E142*0.03 + E142</f>
        <v>18540</v>
      </c>
      <c r="G143" s="2"/>
    </row>
    <row r="144" spans="1:7" x14ac:dyDescent="0.25">
      <c r="B144" s="278"/>
      <c r="D144" s="43" t="s">
        <v>304</v>
      </c>
      <c r="E144" s="279">
        <f t="shared" ref="E144:E151" si="5">E143*0.03+E143</f>
        <v>19096.2</v>
      </c>
      <c r="G144" s="2"/>
    </row>
    <row r="145" spans="1:9" x14ac:dyDescent="0.25">
      <c r="B145" s="278"/>
      <c r="D145" s="43" t="s">
        <v>305</v>
      </c>
      <c r="E145" s="279">
        <f t="shared" si="5"/>
        <v>19669.085999999999</v>
      </c>
      <c r="G145" s="2"/>
    </row>
    <row r="146" spans="1:9" x14ac:dyDescent="0.25">
      <c r="B146" s="278"/>
      <c r="D146" s="43" t="s">
        <v>306</v>
      </c>
      <c r="E146" s="279">
        <f t="shared" si="5"/>
        <v>20259.158579999999</v>
      </c>
      <c r="G146" s="2"/>
    </row>
    <row r="147" spans="1:9" x14ac:dyDescent="0.25">
      <c r="B147" s="278"/>
      <c r="D147" s="43" t="s">
        <v>307</v>
      </c>
      <c r="E147" s="279">
        <f t="shared" si="5"/>
        <v>20866.933337399998</v>
      </c>
      <c r="G147" s="2"/>
    </row>
    <row r="148" spans="1:9" x14ac:dyDescent="0.25">
      <c r="B148" s="278"/>
      <c r="D148" s="43" t="s">
        <v>308</v>
      </c>
      <c r="E148" s="279">
        <f t="shared" si="5"/>
        <v>21492.941337521999</v>
      </c>
      <c r="G148" s="2"/>
    </row>
    <row r="149" spans="1:9" x14ac:dyDescent="0.25">
      <c r="B149" s="278"/>
      <c r="D149" s="43" t="s">
        <v>309</v>
      </c>
      <c r="E149" s="279">
        <f t="shared" si="5"/>
        <v>22137.72957764766</v>
      </c>
      <c r="G149" s="2"/>
    </row>
    <row r="150" spans="1:9" x14ac:dyDescent="0.25">
      <c r="B150" s="278"/>
      <c r="D150" s="43" t="s">
        <v>310</v>
      </c>
      <c r="E150" s="279">
        <f t="shared" si="5"/>
        <v>22801.86146497709</v>
      </c>
      <c r="G150" s="2"/>
    </row>
    <row r="151" spans="1:9" x14ac:dyDescent="0.25">
      <c r="B151" s="278"/>
      <c r="D151" s="43" t="s">
        <v>311</v>
      </c>
      <c r="E151" s="279">
        <f t="shared" si="5"/>
        <v>23485.917308926404</v>
      </c>
      <c r="G151" s="2"/>
    </row>
    <row r="160" spans="1:9" ht="15.75" x14ac:dyDescent="0.25">
      <c r="A160" s="36" t="s">
        <v>344</v>
      </c>
      <c r="B160" s="36"/>
      <c r="C160" s="285"/>
      <c r="D160" s="60" t="s">
        <v>330</v>
      </c>
      <c r="E160" s="36" t="s">
        <v>331</v>
      </c>
      <c r="F160" s="36" t="s">
        <v>302</v>
      </c>
      <c r="G160" s="36"/>
      <c r="H160" s="36"/>
      <c r="I160" s="36"/>
    </row>
    <row r="161" spans="1:10" x14ac:dyDescent="0.25">
      <c r="A161" s="46">
        <v>1</v>
      </c>
      <c r="B161" s="282">
        <v>44377</v>
      </c>
      <c r="C161" s="46"/>
      <c r="D161" s="46"/>
      <c r="E161" s="279">
        <v>1500000</v>
      </c>
      <c r="F161" s="46" t="s">
        <v>194</v>
      </c>
      <c r="G161" s="279">
        <f>E161/10</f>
        <v>150000</v>
      </c>
      <c r="H161" s="279"/>
      <c r="I161" s="46"/>
      <c r="J161" s="18"/>
    </row>
    <row r="162" spans="1:10" x14ac:dyDescent="0.25">
      <c r="A162" s="46">
        <v>2</v>
      </c>
      <c r="B162" s="282">
        <v>44742</v>
      </c>
      <c r="C162" s="46"/>
      <c r="D162" s="46"/>
      <c r="E162" s="279"/>
      <c r="F162" s="46" t="s">
        <v>303</v>
      </c>
      <c r="G162" s="279">
        <f>G161*0.03 + G161</f>
        <v>154500</v>
      </c>
      <c r="H162" s="46"/>
      <c r="I162" s="46"/>
      <c r="J162" s="18"/>
    </row>
    <row r="163" spans="1:10" x14ac:dyDescent="0.25">
      <c r="A163" s="46">
        <v>3</v>
      </c>
      <c r="B163" s="282">
        <v>45107</v>
      </c>
      <c r="C163" s="46"/>
      <c r="D163" s="46"/>
      <c r="E163" s="279"/>
      <c r="F163" s="46" t="s">
        <v>304</v>
      </c>
      <c r="G163" s="279">
        <f t="shared" ref="G163:G170" si="6">G162*0.03+G162</f>
        <v>159135</v>
      </c>
      <c r="H163" s="284"/>
      <c r="I163" s="46"/>
      <c r="J163" s="235"/>
    </row>
    <row r="164" spans="1:10" x14ac:dyDescent="0.25">
      <c r="A164" s="46">
        <v>4</v>
      </c>
      <c r="B164" s="282">
        <v>45473</v>
      </c>
      <c r="C164" s="46"/>
      <c r="D164" s="46" t="s">
        <v>18</v>
      </c>
      <c r="E164" s="279"/>
      <c r="F164" s="46" t="s">
        <v>305</v>
      </c>
      <c r="G164" s="279">
        <f t="shared" si="6"/>
        <v>163909.04999999999</v>
      </c>
      <c r="H164" s="46"/>
      <c r="I164" s="46"/>
      <c r="J164" s="235"/>
    </row>
    <row r="165" spans="1:10" x14ac:dyDescent="0.25">
      <c r="A165" s="46">
        <v>5</v>
      </c>
      <c r="B165" s="282">
        <v>45838</v>
      </c>
      <c r="C165" s="46"/>
      <c r="D165" s="46"/>
      <c r="E165" s="279"/>
      <c r="F165" s="46" t="s">
        <v>306</v>
      </c>
      <c r="G165" s="279">
        <f t="shared" si="6"/>
        <v>168826.32149999999</v>
      </c>
      <c r="H165" s="46"/>
      <c r="I165" s="46"/>
      <c r="J165" s="235"/>
    </row>
    <row r="166" spans="1:10" x14ac:dyDescent="0.25">
      <c r="A166" s="46">
        <v>6</v>
      </c>
      <c r="B166" s="282">
        <v>46203</v>
      </c>
      <c r="C166" s="46"/>
      <c r="D166" s="46"/>
      <c r="E166" s="279"/>
      <c r="F166" s="46" t="s">
        <v>307</v>
      </c>
      <c r="G166" s="279">
        <f t="shared" si="6"/>
        <v>173891.111145</v>
      </c>
      <c r="H166" s="279"/>
      <c r="I166" s="46"/>
      <c r="J166" s="235"/>
    </row>
    <row r="167" spans="1:10" x14ac:dyDescent="0.25">
      <c r="A167" s="46">
        <v>7</v>
      </c>
      <c r="B167" s="282">
        <v>46568</v>
      </c>
      <c r="C167" s="46"/>
      <c r="D167" s="46"/>
      <c r="E167" s="279"/>
      <c r="F167" s="46" t="s">
        <v>308</v>
      </c>
      <c r="G167" s="279">
        <f t="shared" si="6"/>
        <v>179107.84447934999</v>
      </c>
      <c r="H167" s="46"/>
      <c r="I167" s="46"/>
      <c r="J167" s="235"/>
    </row>
    <row r="168" spans="1:10" x14ac:dyDescent="0.25">
      <c r="A168" s="46">
        <v>8</v>
      </c>
      <c r="B168" s="282">
        <v>46934</v>
      </c>
      <c r="C168" s="46"/>
      <c r="D168" s="46"/>
      <c r="E168" s="279"/>
      <c r="F168" s="46" t="s">
        <v>309</v>
      </c>
      <c r="G168" s="279">
        <f t="shared" si="6"/>
        <v>184481.0798137305</v>
      </c>
      <c r="H168" s="46"/>
      <c r="I168" s="46"/>
      <c r="J168" s="235"/>
    </row>
    <row r="169" spans="1:10" x14ac:dyDescent="0.25">
      <c r="A169" s="46">
        <v>9</v>
      </c>
      <c r="B169" s="282">
        <v>47299</v>
      </c>
      <c r="C169" s="46"/>
      <c r="D169" s="46"/>
      <c r="E169" s="279"/>
      <c r="F169" s="46" t="s">
        <v>310</v>
      </c>
      <c r="G169" s="279">
        <f t="shared" si="6"/>
        <v>190015.51220814241</v>
      </c>
      <c r="H169" s="46"/>
      <c r="I169" s="46"/>
      <c r="J169" s="235"/>
    </row>
    <row r="170" spans="1:10" x14ac:dyDescent="0.25">
      <c r="A170" s="46">
        <v>10</v>
      </c>
      <c r="B170" s="282">
        <v>47664</v>
      </c>
      <c r="C170" s="46"/>
      <c r="D170" s="46"/>
      <c r="E170" s="279"/>
      <c r="F170" s="46" t="s">
        <v>311</v>
      </c>
      <c r="G170" s="279">
        <f t="shared" si="6"/>
        <v>195715.97757438666</v>
      </c>
      <c r="H170" s="46"/>
      <c r="I170" s="46"/>
      <c r="J170" s="235"/>
    </row>
    <row r="171" spans="1:10" x14ac:dyDescent="0.25">
      <c r="A171">
        <v>11</v>
      </c>
      <c r="B171" s="278">
        <v>48029</v>
      </c>
      <c r="E171" s="2"/>
      <c r="F171" t="s">
        <v>312</v>
      </c>
      <c r="G171" s="2"/>
      <c r="J171" s="235"/>
    </row>
    <row r="172" spans="1:10" x14ac:dyDescent="0.25">
      <c r="A172">
        <v>12</v>
      </c>
      <c r="B172" s="278">
        <v>48395</v>
      </c>
      <c r="E172" s="2"/>
      <c r="F172" t="s">
        <v>313</v>
      </c>
      <c r="G172" s="2">
        <f t="shared" ref="G172:G185" si="7">G171*0.03+G171</f>
        <v>0</v>
      </c>
      <c r="J172" s="235"/>
    </row>
    <row r="173" spans="1:10" x14ac:dyDescent="0.25">
      <c r="A173">
        <v>13</v>
      </c>
      <c r="B173" s="278">
        <v>48760</v>
      </c>
      <c r="E173" s="2"/>
      <c r="F173" t="s">
        <v>314</v>
      </c>
      <c r="G173" s="2">
        <f t="shared" si="7"/>
        <v>0</v>
      </c>
    </row>
    <row r="174" spans="1:10" x14ac:dyDescent="0.25">
      <c r="A174">
        <v>14</v>
      </c>
      <c r="B174" s="278">
        <v>49125</v>
      </c>
      <c r="E174" s="2"/>
      <c r="F174" t="s">
        <v>315</v>
      </c>
      <c r="G174" s="2">
        <f t="shared" si="7"/>
        <v>0</v>
      </c>
    </row>
    <row r="175" spans="1:10" x14ac:dyDescent="0.25">
      <c r="A175">
        <v>15</v>
      </c>
      <c r="B175" s="278">
        <v>49490</v>
      </c>
      <c r="E175" s="2"/>
      <c r="F175" t="s">
        <v>316</v>
      </c>
      <c r="G175" s="2">
        <f t="shared" si="7"/>
        <v>0</v>
      </c>
    </row>
    <row r="176" spans="1:10" x14ac:dyDescent="0.25">
      <c r="A176">
        <v>16</v>
      </c>
      <c r="B176" s="278">
        <v>49856</v>
      </c>
      <c r="E176" s="2"/>
      <c r="F176" t="s">
        <v>317</v>
      </c>
      <c r="G176" s="2">
        <f t="shared" si="7"/>
        <v>0</v>
      </c>
    </row>
    <row r="177" spans="1:7" x14ac:dyDescent="0.25">
      <c r="A177">
        <v>17</v>
      </c>
      <c r="B177" s="278">
        <v>50221</v>
      </c>
      <c r="E177" s="2"/>
      <c r="F177" t="s">
        <v>318</v>
      </c>
      <c r="G177" s="2">
        <f t="shared" si="7"/>
        <v>0</v>
      </c>
    </row>
    <row r="178" spans="1:7" x14ac:dyDescent="0.25">
      <c r="A178">
        <v>18</v>
      </c>
      <c r="B178" s="278">
        <v>50586</v>
      </c>
      <c r="E178" s="2"/>
      <c r="F178" t="s">
        <v>319</v>
      </c>
      <c r="G178" s="2">
        <f t="shared" si="7"/>
        <v>0</v>
      </c>
    </row>
    <row r="179" spans="1:7" x14ac:dyDescent="0.25">
      <c r="A179">
        <v>19</v>
      </c>
      <c r="B179" s="278">
        <v>50951</v>
      </c>
      <c r="E179" s="2"/>
      <c r="F179" t="s">
        <v>320</v>
      </c>
      <c r="G179" s="2">
        <f t="shared" si="7"/>
        <v>0</v>
      </c>
    </row>
    <row r="180" spans="1:7" x14ac:dyDescent="0.25">
      <c r="A180">
        <v>20</v>
      </c>
      <c r="B180" s="278">
        <v>51317</v>
      </c>
      <c r="E180" s="2"/>
      <c r="F180" t="s">
        <v>321</v>
      </c>
      <c r="G180" s="2">
        <f t="shared" si="7"/>
        <v>0</v>
      </c>
    </row>
    <row r="181" spans="1:7" x14ac:dyDescent="0.25">
      <c r="A181">
        <v>21</v>
      </c>
      <c r="B181" s="278">
        <v>51682</v>
      </c>
      <c r="E181" s="2"/>
      <c r="F181" t="s">
        <v>322</v>
      </c>
      <c r="G181" s="2">
        <f t="shared" si="7"/>
        <v>0</v>
      </c>
    </row>
    <row r="182" spans="1:7" x14ac:dyDescent="0.25">
      <c r="A182">
        <v>22</v>
      </c>
      <c r="B182" s="278">
        <v>52047</v>
      </c>
      <c r="E182" s="2"/>
      <c r="F182" t="s">
        <v>323</v>
      </c>
      <c r="G182" s="2">
        <f t="shared" si="7"/>
        <v>0</v>
      </c>
    </row>
    <row r="183" spans="1:7" x14ac:dyDescent="0.25">
      <c r="A183">
        <v>23</v>
      </c>
      <c r="B183" s="278">
        <v>52412</v>
      </c>
      <c r="E183" s="2"/>
      <c r="F183" t="s">
        <v>324</v>
      </c>
      <c r="G183" s="2">
        <f t="shared" si="7"/>
        <v>0</v>
      </c>
    </row>
    <row r="184" spans="1:7" x14ac:dyDescent="0.25">
      <c r="A184">
        <v>24</v>
      </c>
      <c r="B184" s="278">
        <v>52778</v>
      </c>
      <c r="E184" s="2"/>
      <c r="F184" t="s">
        <v>325</v>
      </c>
      <c r="G184" s="2">
        <f t="shared" si="7"/>
        <v>0</v>
      </c>
    </row>
    <row r="185" spans="1:7" x14ac:dyDescent="0.25">
      <c r="A185">
        <v>25</v>
      </c>
      <c r="B185" s="278">
        <v>53143</v>
      </c>
      <c r="E185" s="2"/>
      <c r="F185" t="s">
        <v>326</v>
      </c>
      <c r="G185" s="2">
        <f t="shared" si="7"/>
        <v>0</v>
      </c>
    </row>
    <row r="186" spans="1:7" x14ac:dyDescent="0.25">
      <c r="B186" s="278"/>
      <c r="E186" s="2"/>
      <c r="G186" s="2"/>
    </row>
    <row r="187" spans="1:7" x14ac:dyDescent="0.25">
      <c r="B187" s="278"/>
      <c r="E187" s="2"/>
      <c r="G187" s="2">
        <f>SUM(G161:G186)</f>
        <v>1719581.8967206094</v>
      </c>
    </row>
    <row r="188" spans="1:7" x14ac:dyDescent="0.25">
      <c r="B188" s="278"/>
      <c r="E188" s="2"/>
      <c r="G188" s="2"/>
    </row>
    <row r="189" spans="1:7" x14ac:dyDescent="0.25">
      <c r="B189" s="278"/>
      <c r="D189" s="36" t="s">
        <v>332</v>
      </c>
      <c r="E189" s="36">
        <v>400</v>
      </c>
      <c r="G189" s="2"/>
    </row>
    <row r="190" spans="1:7" x14ac:dyDescent="0.25">
      <c r="B190" s="278"/>
      <c r="D190" s="43" t="s">
        <v>302</v>
      </c>
      <c r="E190" s="43"/>
      <c r="G190" s="2"/>
    </row>
    <row r="191" spans="1:7" x14ac:dyDescent="0.25">
      <c r="B191" s="278"/>
      <c r="D191" s="43" t="s">
        <v>194</v>
      </c>
      <c r="E191" s="279">
        <f>G161</f>
        <v>150000</v>
      </c>
      <c r="G191" s="2"/>
    </row>
    <row r="192" spans="1:7" x14ac:dyDescent="0.25">
      <c r="B192" s="278"/>
      <c r="D192" s="43" t="s">
        <v>303</v>
      </c>
      <c r="E192" s="279">
        <f>E191*0.03 + E191</f>
        <v>154500</v>
      </c>
      <c r="G192" s="2"/>
    </row>
    <row r="193" spans="2:7" x14ac:dyDescent="0.25">
      <c r="B193" s="278"/>
      <c r="D193" s="43" t="s">
        <v>304</v>
      </c>
      <c r="E193" s="279">
        <f t="shared" ref="E193:E200" si="8">E192*0.03+E192</f>
        <v>159135</v>
      </c>
      <c r="G193" s="2"/>
    </row>
    <row r="194" spans="2:7" x14ac:dyDescent="0.25">
      <c r="B194" s="278"/>
      <c r="D194" s="43" t="s">
        <v>305</v>
      </c>
      <c r="E194" s="279">
        <f t="shared" si="8"/>
        <v>163909.04999999999</v>
      </c>
      <c r="G194" s="2"/>
    </row>
    <row r="195" spans="2:7" x14ac:dyDescent="0.25">
      <c r="B195" s="278"/>
      <c r="D195" s="43" t="s">
        <v>306</v>
      </c>
      <c r="E195" s="279">
        <f t="shared" si="8"/>
        <v>168826.32149999999</v>
      </c>
      <c r="G195" s="2"/>
    </row>
    <row r="196" spans="2:7" x14ac:dyDescent="0.25">
      <c r="B196" s="278"/>
      <c r="D196" s="43" t="s">
        <v>307</v>
      </c>
      <c r="E196" s="279">
        <f t="shared" si="8"/>
        <v>173891.111145</v>
      </c>
      <c r="G196" s="2"/>
    </row>
    <row r="197" spans="2:7" x14ac:dyDescent="0.25">
      <c r="B197" s="278"/>
      <c r="D197" s="43" t="s">
        <v>308</v>
      </c>
      <c r="E197" s="279">
        <f t="shared" si="8"/>
        <v>179107.84447934999</v>
      </c>
      <c r="G197" s="2"/>
    </row>
    <row r="198" spans="2:7" x14ac:dyDescent="0.25">
      <c r="B198" s="278"/>
      <c r="D198" s="43" t="s">
        <v>309</v>
      </c>
      <c r="E198" s="279">
        <f t="shared" si="8"/>
        <v>184481.0798137305</v>
      </c>
      <c r="G198" s="2"/>
    </row>
    <row r="199" spans="2:7" x14ac:dyDescent="0.25">
      <c r="B199" s="278"/>
      <c r="D199" s="43" t="s">
        <v>310</v>
      </c>
      <c r="E199" s="279">
        <f t="shared" si="8"/>
        <v>190015.51220814241</v>
      </c>
      <c r="G199" s="2"/>
    </row>
    <row r="200" spans="2:7" x14ac:dyDescent="0.25">
      <c r="B200" s="278"/>
      <c r="D200" s="43" t="s">
        <v>311</v>
      </c>
      <c r="E200" s="279">
        <f t="shared" si="8"/>
        <v>195715.97757438666</v>
      </c>
      <c r="G200" s="2"/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51"/>
  <sheetViews>
    <sheetView topLeftCell="A64" workbookViewId="0">
      <selection activeCell="C29" sqref="C29"/>
    </sheetView>
  </sheetViews>
  <sheetFormatPr defaultRowHeight="15" x14ac:dyDescent="0.25"/>
  <cols>
    <col min="2" max="2" width="20.85546875" customWidth="1"/>
    <col min="3" max="3" width="18.7109375" customWidth="1"/>
    <col min="4" max="4" width="16.28515625" customWidth="1"/>
    <col min="5" max="5" width="14" customWidth="1"/>
    <col min="7" max="7" width="12.5703125" customWidth="1"/>
  </cols>
  <sheetData>
    <row r="1" spans="1:9" ht="18.75" x14ac:dyDescent="0.3">
      <c r="C1" s="267"/>
      <c r="D1" s="286"/>
    </row>
    <row r="2" spans="1:9" ht="15.75" x14ac:dyDescent="0.25">
      <c r="A2" s="290" t="s">
        <v>328</v>
      </c>
      <c r="B2" s="36"/>
      <c r="C2" s="285"/>
      <c r="D2" s="60" t="s">
        <v>330</v>
      </c>
      <c r="E2" s="36" t="s">
        <v>331</v>
      </c>
      <c r="F2" s="36" t="s">
        <v>302</v>
      </c>
      <c r="G2" s="36"/>
      <c r="H2" s="36"/>
      <c r="I2" s="36"/>
    </row>
    <row r="3" spans="1:9" x14ac:dyDescent="0.25">
      <c r="A3" s="46">
        <v>1</v>
      </c>
      <c r="B3" s="282">
        <v>44377</v>
      </c>
      <c r="C3" s="46"/>
      <c r="D3" s="46"/>
      <c r="E3" s="279">
        <v>70000</v>
      </c>
      <c r="F3" s="46" t="s">
        <v>194</v>
      </c>
      <c r="G3" s="279">
        <f>E3/10</f>
        <v>7000</v>
      </c>
      <c r="H3" s="279"/>
      <c r="I3" s="46"/>
    </row>
    <row r="4" spans="1:9" x14ac:dyDescent="0.25">
      <c r="A4" s="46">
        <v>2</v>
      </c>
      <c r="B4" s="282">
        <v>44742</v>
      </c>
      <c r="C4" s="46"/>
      <c r="D4" s="46"/>
      <c r="E4" s="279"/>
      <c r="F4" s="46" t="s">
        <v>303</v>
      </c>
      <c r="G4" s="279">
        <f>G3*0.03 + G3</f>
        <v>7210</v>
      </c>
      <c r="H4" s="46"/>
      <c r="I4" s="46"/>
    </row>
    <row r="5" spans="1:9" x14ac:dyDescent="0.25">
      <c r="A5" s="46">
        <v>3</v>
      </c>
      <c r="B5" s="282">
        <v>45107</v>
      </c>
      <c r="C5" s="46"/>
      <c r="D5" s="46"/>
      <c r="E5" s="279"/>
      <c r="F5" s="46" t="s">
        <v>304</v>
      </c>
      <c r="G5" s="279">
        <f t="shared" ref="G5:G12" si="0">G4*0.03+G4</f>
        <v>7426.3</v>
      </c>
      <c r="H5" s="284"/>
      <c r="I5" s="46"/>
    </row>
    <row r="6" spans="1:9" x14ac:dyDescent="0.25">
      <c r="A6" s="46">
        <v>4</v>
      </c>
      <c r="B6" s="282">
        <v>45473</v>
      </c>
      <c r="C6" s="46"/>
      <c r="D6" s="46" t="s">
        <v>18</v>
      </c>
      <c r="E6" s="279"/>
      <c r="F6" s="46" t="s">
        <v>305</v>
      </c>
      <c r="G6" s="279">
        <f t="shared" si="0"/>
        <v>7649.0889999999999</v>
      </c>
      <c r="H6" s="46"/>
      <c r="I6" s="46"/>
    </row>
    <row r="7" spans="1:9" x14ac:dyDescent="0.25">
      <c r="A7" s="46">
        <v>5</v>
      </c>
      <c r="B7" s="282">
        <v>45838</v>
      </c>
      <c r="C7" s="46"/>
      <c r="D7" s="46"/>
      <c r="E7" s="279"/>
      <c r="F7" s="46" t="s">
        <v>306</v>
      </c>
      <c r="G7" s="279">
        <f t="shared" si="0"/>
        <v>7878.56167</v>
      </c>
      <c r="H7" s="46"/>
      <c r="I7" s="46"/>
    </row>
    <row r="8" spans="1:9" x14ac:dyDescent="0.25">
      <c r="A8" s="46">
        <v>6</v>
      </c>
      <c r="B8" s="282">
        <v>46203</v>
      </c>
      <c r="C8" s="46"/>
      <c r="D8" s="46"/>
      <c r="E8" s="279"/>
      <c r="F8" s="46" t="s">
        <v>307</v>
      </c>
      <c r="G8" s="279">
        <f t="shared" si="0"/>
        <v>8114.9185201</v>
      </c>
      <c r="H8" s="279"/>
      <c r="I8" s="46"/>
    </row>
    <row r="9" spans="1:9" x14ac:dyDescent="0.25">
      <c r="A9" s="46">
        <v>7</v>
      </c>
      <c r="B9" s="282">
        <v>46568</v>
      </c>
      <c r="C9" s="46"/>
      <c r="D9" s="46"/>
      <c r="E9" s="279"/>
      <c r="F9" s="46" t="s">
        <v>308</v>
      </c>
      <c r="G9" s="279">
        <f t="shared" si="0"/>
        <v>8358.3660757029993</v>
      </c>
      <c r="H9" s="46"/>
      <c r="I9" s="46"/>
    </row>
    <row r="10" spans="1:9" x14ac:dyDescent="0.25">
      <c r="A10" s="46">
        <v>8</v>
      </c>
      <c r="B10" s="282">
        <v>46934</v>
      </c>
      <c r="C10" s="46"/>
      <c r="D10" s="46"/>
      <c r="E10" s="279"/>
      <c r="F10" s="46" t="s">
        <v>309</v>
      </c>
      <c r="G10" s="279">
        <f t="shared" si="0"/>
        <v>8609.1170579740901</v>
      </c>
      <c r="H10" s="46"/>
      <c r="I10" s="46"/>
    </row>
    <row r="11" spans="1:9" x14ac:dyDescent="0.25">
      <c r="A11" s="46">
        <v>9</v>
      </c>
      <c r="B11" s="282">
        <v>47299</v>
      </c>
      <c r="C11" s="46"/>
      <c r="D11" s="46"/>
      <c r="E11" s="279"/>
      <c r="F11" s="46" t="s">
        <v>310</v>
      </c>
      <c r="G11" s="279">
        <f t="shared" si="0"/>
        <v>8867.3905697133123</v>
      </c>
      <c r="H11" s="46"/>
      <c r="I11" s="46"/>
    </row>
    <row r="12" spans="1:9" x14ac:dyDescent="0.25">
      <c r="A12" s="46">
        <v>10</v>
      </c>
      <c r="B12" s="282">
        <v>47664</v>
      </c>
      <c r="C12" s="46"/>
      <c r="D12" s="46"/>
      <c r="E12" s="279"/>
      <c r="F12" s="46" t="s">
        <v>311</v>
      </c>
      <c r="G12" s="279">
        <f t="shared" si="0"/>
        <v>9133.4122868047125</v>
      </c>
      <c r="H12" s="46"/>
      <c r="I12" s="46"/>
    </row>
    <row r="13" spans="1:9" x14ac:dyDescent="0.25">
      <c r="A13">
        <v>11</v>
      </c>
      <c r="B13" s="278">
        <v>48029</v>
      </c>
      <c r="E13" s="2"/>
      <c r="F13" t="s">
        <v>312</v>
      </c>
      <c r="G13" s="2"/>
    </row>
    <row r="14" spans="1:9" x14ac:dyDescent="0.25">
      <c r="A14">
        <v>12</v>
      </c>
      <c r="B14" s="278">
        <v>48395</v>
      </c>
      <c r="E14" s="2"/>
      <c r="F14" t="s">
        <v>313</v>
      </c>
      <c r="G14" s="2">
        <f t="shared" ref="G14:G27" si="1">G13*0.03+G13</f>
        <v>0</v>
      </c>
    </row>
    <row r="15" spans="1:9" x14ac:dyDescent="0.25">
      <c r="A15">
        <v>13</v>
      </c>
      <c r="B15" s="278">
        <v>48760</v>
      </c>
      <c r="E15" s="2"/>
      <c r="F15" t="s">
        <v>314</v>
      </c>
      <c r="G15" s="2">
        <f t="shared" si="1"/>
        <v>0</v>
      </c>
    </row>
    <row r="16" spans="1:9" x14ac:dyDescent="0.25">
      <c r="A16">
        <v>14</v>
      </c>
      <c r="B16" s="278">
        <v>49125</v>
      </c>
      <c r="E16" s="2"/>
      <c r="F16" t="s">
        <v>315</v>
      </c>
      <c r="G16" s="2">
        <f t="shared" si="1"/>
        <v>0</v>
      </c>
    </row>
    <row r="17" spans="1:7" x14ac:dyDescent="0.25">
      <c r="A17">
        <v>15</v>
      </c>
      <c r="B17" s="278">
        <v>49490</v>
      </c>
      <c r="E17" s="2"/>
      <c r="F17" t="s">
        <v>316</v>
      </c>
      <c r="G17" s="2">
        <f t="shared" si="1"/>
        <v>0</v>
      </c>
    </row>
    <row r="18" spans="1:7" x14ac:dyDescent="0.25">
      <c r="A18">
        <v>16</v>
      </c>
      <c r="B18" s="278">
        <v>49856</v>
      </c>
      <c r="E18" s="2"/>
      <c r="F18" t="s">
        <v>317</v>
      </c>
      <c r="G18" s="2">
        <f t="shared" si="1"/>
        <v>0</v>
      </c>
    </row>
    <row r="19" spans="1:7" x14ac:dyDescent="0.25">
      <c r="A19">
        <v>17</v>
      </c>
      <c r="B19" s="278">
        <v>50221</v>
      </c>
      <c r="E19" s="2"/>
      <c r="F19" t="s">
        <v>318</v>
      </c>
      <c r="G19" s="2">
        <f t="shared" si="1"/>
        <v>0</v>
      </c>
    </row>
    <row r="20" spans="1:7" x14ac:dyDescent="0.25">
      <c r="A20">
        <v>18</v>
      </c>
      <c r="B20" s="278">
        <v>50586</v>
      </c>
      <c r="E20" s="2"/>
      <c r="F20" t="s">
        <v>319</v>
      </c>
      <c r="G20" s="2">
        <f t="shared" si="1"/>
        <v>0</v>
      </c>
    </row>
    <row r="21" spans="1:7" x14ac:dyDescent="0.25">
      <c r="A21">
        <v>19</v>
      </c>
      <c r="B21" s="278">
        <v>50951</v>
      </c>
      <c r="E21" s="2"/>
      <c r="F21" t="s">
        <v>320</v>
      </c>
      <c r="G21" s="2">
        <f t="shared" si="1"/>
        <v>0</v>
      </c>
    </row>
    <row r="22" spans="1:7" x14ac:dyDescent="0.25">
      <c r="A22">
        <v>20</v>
      </c>
      <c r="B22" s="278">
        <v>51317</v>
      </c>
      <c r="E22" s="2"/>
      <c r="F22" t="s">
        <v>321</v>
      </c>
      <c r="G22" s="2">
        <f t="shared" si="1"/>
        <v>0</v>
      </c>
    </row>
    <row r="23" spans="1:7" x14ac:dyDescent="0.25">
      <c r="A23">
        <v>21</v>
      </c>
      <c r="B23" s="278">
        <v>51682</v>
      </c>
      <c r="E23" s="2"/>
      <c r="F23" t="s">
        <v>322</v>
      </c>
      <c r="G23" s="2">
        <f t="shared" si="1"/>
        <v>0</v>
      </c>
    </row>
    <row r="24" spans="1:7" x14ac:dyDescent="0.25">
      <c r="A24">
        <v>22</v>
      </c>
      <c r="B24" s="278">
        <v>52047</v>
      </c>
      <c r="E24" s="2"/>
      <c r="F24" t="s">
        <v>323</v>
      </c>
      <c r="G24" s="2">
        <f t="shared" si="1"/>
        <v>0</v>
      </c>
    </row>
    <row r="25" spans="1:7" x14ac:dyDescent="0.25">
      <c r="A25">
        <v>23</v>
      </c>
      <c r="B25" s="278">
        <v>52412</v>
      </c>
      <c r="E25" s="2"/>
      <c r="F25" t="s">
        <v>324</v>
      </c>
      <c r="G25" s="2">
        <f t="shared" si="1"/>
        <v>0</v>
      </c>
    </row>
    <row r="26" spans="1:7" ht="15" customHeight="1" x14ac:dyDescent="0.25">
      <c r="A26">
        <v>24</v>
      </c>
      <c r="B26" s="278">
        <v>52778</v>
      </c>
      <c r="E26" s="2"/>
      <c r="F26" t="s">
        <v>325</v>
      </c>
      <c r="G26" s="2">
        <f t="shared" si="1"/>
        <v>0</v>
      </c>
    </row>
    <row r="27" spans="1:7" x14ac:dyDescent="0.25">
      <c r="A27">
        <v>25</v>
      </c>
      <c r="B27" s="278">
        <v>53143</v>
      </c>
      <c r="E27" s="2"/>
      <c r="F27" t="s">
        <v>326</v>
      </c>
      <c r="G27" s="2">
        <f t="shared" si="1"/>
        <v>0</v>
      </c>
    </row>
    <row r="28" spans="1:7" x14ac:dyDescent="0.25">
      <c r="B28" s="278"/>
      <c r="E28" s="2"/>
      <c r="G28" s="2"/>
    </row>
    <row r="29" spans="1:7" x14ac:dyDescent="0.25">
      <c r="B29" s="278"/>
      <c r="E29" s="2"/>
      <c r="G29" s="2"/>
    </row>
    <row r="30" spans="1:7" x14ac:dyDescent="0.25">
      <c r="B30" s="278"/>
      <c r="E30" s="2"/>
      <c r="G30" s="2"/>
    </row>
    <row r="31" spans="1:7" x14ac:dyDescent="0.25">
      <c r="B31" s="278"/>
      <c r="E31" s="2"/>
      <c r="G31" s="2"/>
    </row>
    <row r="32" spans="1:7" x14ac:dyDescent="0.25">
      <c r="B32" s="278"/>
      <c r="E32" s="2"/>
      <c r="G32" s="2"/>
    </row>
    <row r="33" spans="1:9" x14ac:dyDescent="0.25">
      <c r="B33" s="278"/>
      <c r="E33" s="2"/>
      <c r="G33" s="2"/>
    </row>
    <row r="34" spans="1:9" x14ac:dyDescent="0.25">
      <c r="B34" s="278"/>
      <c r="E34" s="2"/>
      <c r="G34" s="2"/>
    </row>
    <row r="36" spans="1:9" x14ac:dyDescent="0.25">
      <c r="C36" s="36" t="s">
        <v>332</v>
      </c>
      <c r="D36" s="36"/>
      <c r="E36" s="36">
        <v>300</v>
      </c>
      <c r="F36" s="18"/>
      <c r="G36" s="18"/>
      <c r="H36" s="18"/>
      <c r="I36" s="18"/>
    </row>
    <row r="37" spans="1:9" x14ac:dyDescent="0.25">
      <c r="C37" s="43" t="s">
        <v>302</v>
      </c>
      <c r="D37" s="43"/>
      <c r="E37" s="43"/>
      <c r="F37" s="18"/>
      <c r="G37" s="18"/>
      <c r="H37" s="18"/>
      <c r="I37" s="18"/>
    </row>
    <row r="38" spans="1:9" s="287" customFormat="1" ht="15.75" thickBot="1" x14ac:dyDescent="0.3">
      <c r="A38" s="18"/>
      <c r="B38" s="18"/>
      <c r="C38" s="43" t="s">
        <v>194</v>
      </c>
      <c r="D38" s="107"/>
      <c r="E38" s="289">
        <f t="shared" ref="E38:E47" si="2">G3</f>
        <v>7000</v>
      </c>
      <c r="F38" s="18"/>
      <c r="G38" s="18"/>
      <c r="H38" s="18"/>
      <c r="I38" s="18"/>
    </row>
    <row r="39" spans="1:9" s="287" customFormat="1" ht="15.75" thickTop="1" x14ac:dyDescent="0.25">
      <c r="A39" s="18"/>
      <c r="B39" s="18"/>
      <c r="C39" s="43" t="s">
        <v>303</v>
      </c>
      <c r="D39" s="107"/>
      <c r="E39" s="13">
        <f t="shared" si="2"/>
        <v>7210</v>
      </c>
      <c r="F39" s="18"/>
      <c r="G39" s="18"/>
      <c r="H39" s="18"/>
      <c r="I39" s="18"/>
    </row>
    <row r="40" spans="1:9" s="287" customFormat="1" x14ac:dyDescent="0.25">
      <c r="A40" s="18"/>
      <c r="B40" s="18"/>
      <c r="C40" s="43" t="s">
        <v>304</v>
      </c>
      <c r="D40" s="107"/>
      <c r="E40" s="13">
        <f t="shared" si="2"/>
        <v>7426.3</v>
      </c>
      <c r="F40" s="18"/>
      <c r="G40" s="18"/>
      <c r="H40" s="18"/>
      <c r="I40" s="18"/>
    </row>
    <row r="41" spans="1:9" s="287" customFormat="1" x14ac:dyDescent="0.25">
      <c r="A41" s="18"/>
      <c r="B41" s="18"/>
      <c r="C41" s="43" t="s">
        <v>305</v>
      </c>
      <c r="D41" s="107"/>
      <c r="E41" s="13">
        <f t="shared" si="2"/>
        <v>7649.0889999999999</v>
      </c>
      <c r="F41" s="18"/>
      <c r="G41" s="18"/>
      <c r="H41" s="18"/>
      <c r="I41" s="18"/>
    </row>
    <row r="42" spans="1:9" s="287" customFormat="1" x14ac:dyDescent="0.25">
      <c r="A42" s="18"/>
      <c r="B42" s="18"/>
      <c r="C42" s="43" t="s">
        <v>306</v>
      </c>
      <c r="D42" s="107"/>
      <c r="E42" s="13">
        <f t="shared" si="2"/>
        <v>7878.56167</v>
      </c>
      <c r="F42" s="18"/>
      <c r="G42" s="18"/>
      <c r="H42" s="18"/>
      <c r="I42" s="18"/>
    </row>
    <row r="43" spans="1:9" s="287" customFormat="1" x14ac:dyDescent="0.25">
      <c r="A43" s="18"/>
      <c r="B43" s="18"/>
      <c r="C43" s="43" t="s">
        <v>307</v>
      </c>
      <c r="D43" s="107"/>
      <c r="E43" s="13">
        <f t="shared" si="2"/>
        <v>8114.9185201</v>
      </c>
      <c r="F43" s="18"/>
      <c r="G43" s="18"/>
      <c r="H43" s="18"/>
      <c r="I43" s="18"/>
    </row>
    <row r="44" spans="1:9" s="287" customFormat="1" x14ac:dyDescent="0.25">
      <c r="A44" s="18"/>
      <c r="B44" s="18"/>
      <c r="C44" s="43" t="s">
        <v>308</v>
      </c>
      <c r="D44" s="107"/>
      <c r="E44" s="13">
        <f t="shared" si="2"/>
        <v>8358.3660757029993</v>
      </c>
      <c r="F44" s="18"/>
      <c r="G44" s="18"/>
      <c r="H44" s="18"/>
      <c r="I44" s="18"/>
    </row>
    <row r="45" spans="1:9" s="287" customFormat="1" x14ac:dyDescent="0.25">
      <c r="A45" s="18"/>
      <c r="B45" s="18"/>
      <c r="C45" s="43" t="s">
        <v>309</v>
      </c>
      <c r="D45" s="107"/>
      <c r="E45" s="13">
        <f t="shared" si="2"/>
        <v>8609.1170579740901</v>
      </c>
      <c r="F45" s="18"/>
      <c r="G45" s="18"/>
      <c r="H45" s="18"/>
      <c r="I45" s="18"/>
    </row>
    <row r="46" spans="1:9" s="287" customFormat="1" x14ac:dyDescent="0.25">
      <c r="A46" s="18"/>
      <c r="B46" s="18"/>
      <c r="C46" s="43" t="s">
        <v>310</v>
      </c>
      <c r="D46" s="107"/>
      <c r="E46" s="13">
        <f t="shared" si="2"/>
        <v>8867.3905697133123</v>
      </c>
      <c r="F46" s="18"/>
      <c r="G46" s="18"/>
      <c r="H46" s="18"/>
      <c r="I46" s="18"/>
    </row>
    <row r="47" spans="1:9" s="287" customFormat="1" x14ac:dyDescent="0.25">
      <c r="A47" s="18"/>
      <c r="B47" s="18"/>
      <c r="C47" s="43" t="s">
        <v>311</v>
      </c>
      <c r="D47" s="107"/>
      <c r="E47" s="13">
        <f t="shared" si="2"/>
        <v>9133.4122868047125</v>
      </c>
      <c r="F47" s="18"/>
      <c r="G47" s="18"/>
      <c r="H47" s="18"/>
      <c r="I47" s="18"/>
    </row>
    <row r="48" spans="1:9" x14ac:dyDescent="0.25">
      <c r="C48" t="s">
        <v>312</v>
      </c>
    </row>
    <row r="49" spans="3:3" x14ac:dyDescent="0.25">
      <c r="C49" t="s">
        <v>313</v>
      </c>
    </row>
    <row r="50" spans="3:3" x14ac:dyDescent="0.25">
      <c r="C50" t="s">
        <v>314</v>
      </c>
    </row>
    <row r="51" spans="3:3" x14ac:dyDescent="0.25">
      <c r="C51" t="s">
        <v>315</v>
      </c>
    </row>
    <row r="52" spans="3:3" x14ac:dyDescent="0.25">
      <c r="C52" t="s">
        <v>316</v>
      </c>
    </row>
    <row r="53" spans="3:3" x14ac:dyDescent="0.25">
      <c r="C53" t="s">
        <v>317</v>
      </c>
    </row>
    <row r="54" spans="3:3" x14ac:dyDescent="0.25">
      <c r="C54" t="s">
        <v>318</v>
      </c>
    </row>
    <row r="55" spans="3:3" x14ac:dyDescent="0.25">
      <c r="C55" t="s">
        <v>319</v>
      </c>
    </row>
    <row r="56" spans="3:3" x14ac:dyDescent="0.25">
      <c r="C56" t="s">
        <v>320</v>
      </c>
    </row>
    <row r="57" spans="3:3" x14ac:dyDescent="0.25">
      <c r="C57" t="s">
        <v>321</v>
      </c>
    </row>
    <row r="58" spans="3:3" x14ac:dyDescent="0.25">
      <c r="C58" t="s">
        <v>322</v>
      </c>
    </row>
    <row r="59" spans="3:3" x14ac:dyDescent="0.25">
      <c r="C59" t="s">
        <v>323</v>
      </c>
    </row>
    <row r="60" spans="3:3" x14ac:dyDescent="0.25">
      <c r="C60" t="s">
        <v>324</v>
      </c>
    </row>
    <row r="61" spans="3:3" x14ac:dyDescent="0.25">
      <c r="C61" t="s">
        <v>325</v>
      </c>
    </row>
    <row r="62" spans="3:3" x14ac:dyDescent="0.25">
      <c r="C62" t="s">
        <v>326</v>
      </c>
    </row>
    <row r="69" spans="1:9" ht="18.75" x14ac:dyDescent="0.3">
      <c r="C69" s="267"/>
      <c r="D69" s="286"/>
    </row>
    <row r="70" spans="1:9" ht="15.75" x14ac:dyDescent="0.25">
      <c r="A70" s="36" t="s">
        <v>349</v>
      </c>
      <c r="B70" s="36"/>
      <c r="C70" s="285"/>
      <c r="D70" s="60" t="s">
        <v>330</v>
      </c>
      <c r="E70" s="36" t="s">
        <v>331</v>
      </c>
      <c r="F70" s="36" t="s">
        <v>302</v>
      </c>
      <c r="G70" s="36"/>
      <c r="H70" s="36"/>
      <c r="I70" s="36"/>
    </row>
    <row r="71" spans="1:9" s="287" customFormat="1" x14ac:dyDescent="0.25">
      <c r="A71" s="43">
        <v>1</v>
      </c>
      <c r="B71" s="276">
        <v>44377</v>
      </c>
      <c r="C71" s="43"/>
      <c r="D71" s="43"/>
      <c r="E71" s="107">
        <v>80000</v>
      </c>
      <c r="F71" s="43" t="s">
        <v>194</v>
      </c>
      <c r="G71" s="107">
        <f>E71/5</f>
        <v>16000</v>
      </c>
      <c r="H71" s="107"/>
      <c r="I71" s="43"/>
    </row>
    <row r="72" spans="1:9" s="287" customFormat="1" x14ac:dyDescent="0.25">
      <c r="A72" s="43">
        <v>2</v>
      </c>
      <c r="B72" s="276">
        <v>44742</v>
      </c>
      <c r="C72" s="43"/>
      <c r="D72" s="43"/>
      <c r="E72" s="107"/>
      <c r="F72" s="43" t="s">
        <v>303</v>
      </c>
      <c r="G72" s="107">
        <f>G71*0.03 + G71</f>
        <v>16480</v>
      </c>
      <c r="H72" s="43"/>
      <c r="I72" s="43"/>
    </row>
    <row r="73" spans="1:9" s="287" customFormat="1" x14ac:dyDescent="0.25">
      <c r="A73" s="43">
        <v>3</v>
      </c>
      <c r="B73" s="276">
        <v>45107</v>
      </c>
      <c r="C73" s="43"/>
      <c r="D73" s="43"/>
      <c r="E73" s="107"/>
      <c r="F73" s="43" t="s">
        <v>304</v>
      </c>
      <c r="G73" s="107">
        <f>G72*0.03+G72</f>
        <v>16974.400000000001</v>
      </c>
      <c r="H73" s="129"/>
      <c r="I73" s="43"/>
    </row>
    <row r="74" spans="1:9" s="287" customFormat="1" x14ac:dyDescent="0.25">
      <c r="A74" s="43">
        <v>4</v>
      </c>
      <c r="B74" s="276">
        <v>45473</v>
      </c>
      <c r="C74" s="43"/>
      <c r="D74" s="43"/>
      <c r="E74" s="107"/>
      <c r="F74" s="43" t="s">
        <v>305</v>
      </c>
      <c r="G74" s="107">
        <f>G73*0.03+G73</f>
        <v>17483.632000000001</v>
      </c>
      <c r="H74" s="43"/>
      <c r="I74" s="43"/>
    </row>
    <row r="75" spans="1:9" s="287" customFormat="1" x14ac:dyDescent="0.25">
      <c r="A75" s="43">
        <v>5</v>
      </c>
      <c r="B75" s="276">
        <v>45838</v>
      </c>
      <c r="C75" s="43"/>
      <c r="D75" s="43"/>
      <c r="E75" s="107"/>
      <c r="F75" s="43" t="s">
        <v>306</v>
      </c>
      <c r="G75" s="107">
        <f>G74*0.03+G74</f>
        <v>18008.140960000001</v>
      </c>
      <c r="H75" s="43"/>
      <c r="I75" s="43"/>
    </row>
    <row r="76" spans="1:9" x14ac:dyDescent="0.25">
      <c r="A76">
        <v>6</v>
      </c>
      <c r="B76" s="278">
        <v>46203</v>
      </c>
      <c r="E76" s="2"/>
      <c r="F76" t="s">
        <v>307</v>
      </c>
      <c r="G76" s="2"/>
      <c r="H76" s="2"/>
    </row>
    <row r="77" spans="1:9" x14ac:dyDescent="0.25">
      <c r="A77">
        <v>7</v>
      </c>
      <c r="B77" s="278">
        <v>46568</v>
      </c>
      <c r="E77" s="2"/>
      <c r="F77" t="s">
        <v>308</v>
      </c>
      <c r="G77" s="2">
        <f t="shared" ref="G77:G95" si="3">G76*0.03+G76</f>
        <v>0</v>
      </c>
    </row>
    <row r="78" spans="1:9" x14ac:dyDescent="0.25">
      <c r="A78">
        <v>8</v>
      </c>
      <c r="B78" s="278">
        <v>46934</v>
      </c>
      <c r="E78" s="2"/>
      <c r="F78" t="s">
        <v>309</v>
      </c>
      <c r="G78" s="2">
        <f t="shared" si="3"/>
        <v>0</v>
      </c>
    </row>
    <row r="79" spans="1:9" x14ac:dyDescent="0.25">
      <c r="A79">
        <v>9</v>
      </c>
      <c r="B79" s="278">
        <v>47299</v>
      </c>
      <c r="E79" s="2"/>
      <c r="F79" t="s">
        <v>310</v>
      </c>
      <c r="G79" s="2">
        <f t="shared" si="3"/>
        <v>0</v>
      </c>
    </row>
    <row r="80" spans="1:9" x14ac:dyDescent="0.25">
      <c r="A80">
        <v>10</v>
      </c>
      <c r="B80" s="278">
        <v>47664</v>
      </c>
      <c r="E80" s="2"/>
      <c r="F80" t="s">
        <v>311</v>
      </c>
      <c r="G80" s="2">
        <f t="shared" si="3"/>
        <v>0</v>
      </c>
    </row>
    <row r="81" spans="1:7" x14ac:dyDescent="0.25">
      <c r="A81">
        <v>11</v>
      </c>
      <c r="B81" s="278">
        <v>48029</v>
      </c>
      <c r="E81" s="2"/>
      <c r="F81" t="s">
        <v>312</v>
      </c>
      <c r="G81" s="2">
        <f t="shared" si="3"/>
        <v>0</v>
      </c>
    </row>
    <row r="82" spans="1:7" x14ac:dyDescent="0.25">
      <c r="A82">
        <v>12</v>
      </c>
      <c r="B82" s="278">
        <v>48395</v>
      </c>
      <c r="E82" s="2"/>
      <c r="F82" t="s">
        <v>313</v>
      </c>
      <c r="G82" s="2">
        <f t="shared" si="3"/>
        <v>0</v>
      </c>
    </row>
    <row r="83" spans="1:7" x14ac:dyDescent="0.25">
      <c r="A83">
        <v>13</v>
      </c>
      <c r="B83" s="278">
        <v>48760</v>
      </c>
      <c r="E83" s="2"/>
      <c r="F83" t="s">
        <v>314</v>
      </c>
      <c r="G83" s="2">
        <f t="shared" si="3"/>
        <v>0</v>
      </c>
    </row>
    <row r="84" spans="1:7" x14ac:dyDescent="0.25">
      <c r="A84">
        <v>14</v>
      </c>
      <c r="B84" s="278">
        <v>49125</v>
      </c>
      <c r="E84" s="2"/>
      <c r="F84" t="s">
        <v>315</v>
      </c>
      <c r="G84" s="2">
        <f t="shared" si="3"/>
        <v>0</v>
      </c>
    </row>
    <row r="85" spans="1:7" x14ac:dyDescent="0.25">
      <c r="A85">
        <v>15</v>
      </c>
      <c r="B85" s="278">
        <v>49490</v>
      </c>
      <c r="E85" s="2"/>
      <c r="F85" t="s">
        <v>316</v>
      </c>
      <c r="G85" s="2">
        <f t="shared" si="3"/>
        <v>0</v>
      </c>
    </row>
    <row r="86" spans="1:7" x14ac:dyDescent="0.25">
      <c r="A86">
        <v>16</v>
      </c>
      <c r="B86" s="278">
        <v>49856</v>
      </c>
      <c r="E86" s="2"/>
      <c r="F86" t="s">
        <v>317</v>
      </c>
      <c r="G86" s="2">
        <f t="shared" si="3"/>
        <v>0</v>
      </c>
    </row>
    <row r="87" spans="1:7" x14ac:dyDescent="0.25">
      <c r="A87">
        <v>17</v>
      </c>
      <c r="B87" s="278">
        <v>50221</v>
      </c>
      <c r="E87" s="2"/>
      <c r="F87" t="s">
        <v>318</v>
      </c>
      <c r="G87" s="2">
        <f t="shared" si="3"/>
        <v>0</v>
      </c>
    </row>
    <row r="88" spans="1:7" x14ac:dyDescent="0.25">
      <c r="A88">
        <v>18</v>
      </c>
      <c r="B88" s="278">
        <v>50586</v>
      </c>
      <c r="E88" s="2"/>
      <c r="F88" t="s">
        <v>319</v>
      </c>
      <c r="G88" s="2">
        <f t="shared" si="3"/>
        <v>0</v>
      </c>
    </row>
    <row r="89" spans="1:7" x14ac:dyDescent="0.25">
      <c r="A89">
        <v>19</v>
      </c>
      <c r="B89" s="278">
        <v>50951</v>
      </c>
      <c r="E89" s="2"/>
      <c r="F89" t="s">
        <v>320</v>
      </c>
      <c r="G89" s="2">
        <f t="shared" si="3"/>
        <v>0</v>
      </c>
    </row>
    <row r="90" spans="1:7" x14ac:dyDescent="0.25">
      <c r="A90">
        <v>20</v>
      </c>
      <c r="B90" s="278">
        <v>51317</v>
      </c>
      <c r="E90" s="2"/>
      <c r="F90" t="s">
        <v>321</v>
      </c>
      <c r="G90" s="2">
        <f t="shared" si="3"/>
        <v>0</v>
      </c>
    </row>
    <row r="91" spans="1:7" x14ac:dyDescent="0.25">
      <c r="A91">
        <v>21</v>
      </c>
      <c r="B91" s="278">
        <v>51682</v>
      </c>
      <c r="E91" s="2"/>
      <c r="F91" t="s">
        <v>322</v>
      </c>
      <c r="G91" s="2">
        <f t="shared" si="3"/>
        <v>0</v>
      </c>
    </row>
    <row r="92" spans="1:7" x14ac:dyDescent="0.25">
      <c r="A92">
        <v>22</v>
      </c>
      <c r="B92" s="278">
        <v>52047</v>
      </c>
      <c r="E92" s="2"/>
      <c r="F92" t="s">
        <v>323</v>
      </c>
      <c r="G92" s="2">
        <f t="shared" si="3"/>
        <v>0</v>
      </c>
    </row>
    <row r="93" spans="1:7" x14ac:dyDescent="0.25">
      <c r="A93">
        <v>23</v>
      </c>
      <c r="B93" s="278">
        <v>52412</v>
      </c>
      <c r="E93" s="2"/>
      <c r="F93" t="s">
        <v>324</v>
      </c>
      <c r="G93" s="2">
        <f t="shared" si="3"/>
        <v>0</v>
      </c>
    </row>
    <row r="94" spans="1:7" ht="15" customHeight="1" x14ac:dyDescent="0.25">
      <c r="A94">
        <v>24</v>
      </c>
      <c r="B94" s="278">
        <v>52778</v>
      </c>
      <c r="E94" s="2"/>
      <c r="F94" t="s">
        <v>325</v>
      </c>
      <c r="G94" s="2">
        <f t="shared" si="3"/>
        <v>0</v>
      </c>
    </row>
    <row r="95" spans="1:7" x14ac:dyDescent="0.25">
      <c r="A95">
        <v>25</v>
      </c>
      <c r="B95" s="278">
        <v>53143</v>
      </c>
      <c r="E95" s="2"/>
      <c r="F95" t="s">
        <v>326</v>
      </c>
      <c r="G95" s="2">
        <f t="shared" si="3"/>
        <v>0</v>
      </c>
    </row>
    <row r="97" spans="1:9" s="287" customFormat="1" ht="15.75" thickBot="1" x14ac:dyDescent="0.3">
      <c r="A97" s="18"/>
      <c r="B97" s="18"/>
      <c r="C97" s="43" t="s">
        <v>194</v>
      </c>
      <c r="D97" s="107">
        <f>G71/2</f>
        <v>8000</v>
      </c>
      <c r="E97" s="288">
        <f>G71/2</f>
        <v>8000</v>
      </c>
      <c r="F97" s="18"/>
      <c r="G97" s="18"/>
      <c r="H97" s="18"/>
      <c r="I97" s="18"/>
    </row>
    <row r="98" spans="1:9" s="287" customFormat="1" ht="15.75" thickTop="1" x14ac:dyDescent="0.25">
      <c r="A98" s="18"/>
      <c r="B98" s="18"/>
      <c r="C98" s="43" t="s">
        <v>303</v>
      </c>
      <c r="D98" s="107">
        <f>G72/2</f>
        <v>8240</v>
      </c>
      <c r="E98" s="107">
        <f>G72/2</f>
        <v>8240</v>
      </c>
      <c r="F98" s="18"/>
      <c r="G98" s="18"/>
      <c r="H98" s="18"/>
      <c r="I98" s="18"/>
    </row>
    <row r="99" spans="1:9" s="287" customFormat="1" x14ac:dyDescent="0.25">
      <c r="A99" s="18"/>
      <c r="B99" s="18"/>
      <c r="C99" s="43" t="s">
        <v>304</v>
      </c>
      <c r="D99" s="107">
        <f>G73/2</f>
        <v>8487.2000000000007</v>
      </c>
      <c r="E99" s="107">
        <f>G73/2</f>
        <v>8487.2000000000007</v>
      </c>
      <c r="F99" s="18"/>
      <c r="G99" s="18"/>
      <c r="H99" s="18"/>
      <c r="I99" s="18"/>
    </row>
    <row r="100" spans="1:9" s="287" customFormat="1" x14ac:dyDescent="0.25">
      <c r="A100" s="18"/>
      <c r="B100" s="18"/>
      <c r="C100" s="43" t="s">
        <v>305</v>
      </c>
      <c r="D100" s="107">
        <f>G74/2</f>
        <v>8741.8160000000007</v>
      </c>
      <c r="E100" s="107">
        <f>G74/2</f>
        <v>8741.8160000000007</v>
      </c>
      <c r="F100" s="18"/>
      <c r="G100" s="18"/>
      <c r="H100" s="18"/>
      <c r="I100" s="18"/>
    </row>
    <row r="101" spans="1:9" s="287" customFormat="1" x14ac:dyDescent="0.25">
      <c r="A101" s="18"/>
      <c r="B101" s="18"/>
      <c r="C101" s="43" t="s">
        <v>306</v>
      </c>
      <c r="D101" s="107">
        <f>G75/2</f>
        <v>9004.0704800000003</v>
      </c>
      <c r="E101" s="107">
        <f>G75/2</f>
        <v>9004.0704800000003</v>
      </c>
      <c r="F101" s="18"/>
      <c r="G101" s="18"/>
      <c r="H101" s="18"/>
      <c r="I101" s="18"/>
    </row>
    <row r="137" spans="1:9" ht="15.75" x14ac:dyDescent="0.25">
      <c r="A137" s="36" t="s">
        <v>348</v>
      </c>
      <c r="B137" s="36"/>
      <c r="C137" s="285"/>
      <c r="D137" s="60" t="s">
        <v>330</v>
      </c>
      <c r="E137" s="36" t="s">
        <v>331</v>
      </c>
      <c r="F137" s="36" t="s">
        <v>302</v>
      </c>
      <c r="G137" s="36"/>
      <c r="H137" s="36"/>
      <c r="I137" s="36"/>
    </row>
    <row r="138" spans="1:9" x14ac:dyDescent="0.25">
      <c r="A138" s="46">
        <v>1</v>
      </c>
      <c r="B138" s="282">
        <v>44377</v>
      </c>
      <c r="C138" s="46"/>
      <c r="D138" s="46"/>
      <c r="E138" s="279">
        <v>20000</v>
      </c>
      <c r="F138" s="46" t="s">
        <v>194</v>
      </c>
      <c r="G138" s="279">
        <f>E138/10</f>
        <v>2000</v>
      </c>
      <c r="H138" s="279"/>
      <c r="I138" s="46"/>
    </row>
    <row r="139" spans="1:9" x14ac:dyDescent="0.25">
      <c r="A139" s="46">
        <v>2</v>
      </c>
      <c r="B139" s="282">
        <v>44742</v>
      </c>
      <c r="C139" s="46"/>
      <c r="D139" s="46"/>
      <c r="E139" s="279"/>
      <c r="F139" s="46" t="s">
        <v>303</v>
      </c>
      <c r="G139" s="279">
        <f>G138*0.03 + G138</f>
        <v>2060</v>
      </c>
      <c r="H139" s="46"/>
      <c r="I139" s="46"/>
    </row>
    <row r="140" spans="1:9" x14ac:dyDescent="0.25">
      <c r="A140" s="46">
        <v>3</v>
      </c>
      <c r="B140" s="282">
        <v>45107</v>
      </c>
      <c r="C140" s="46"/>
      <c r="D140" s="46"/>
      <c r="E140" s="279"/>
      <c r="F140" s="46" t="s">
        <v>304</v>
      </c>
      <c r="G140" s="279">
        <f t="shared" ref="G140:G147" si="4">G139*0.03+G139</f>
        <v>2121.8000000000002</v>
      </c>
      <c r="H140" s="284"/>
      <c r="I140" s="46"/>
    </row>
    <row r="141" spans="1:9" x14ac:dyDescent="0.25">
      <c r="A141" s="46">
        <v>4</v>
      </c>
      <c r="B141" s="282">
        <v>45473</v>
      </c>
      <c r="C141" s="46"/>
      <c r="D141" s="46" t="s">
        <v>18</v>
      </c>
      <c r="E141" s="279"/>
      <c r="F141" s="46" t="s">
        <v>305</v>
      </c>
      <c r="G141" s="279">
        <f t="shared" si="4"/>
        <v>2185.4540000000002</v>
      </c>
      <c r="H141" s="46"/>
      <c r="I141" s="46"/>
    </row>
    <row r="142" spans="1:9" x14ac:dyDescent="0.25">
      <c r="A142" s="46">
        <v>5</v>
      </c>
      <c r="B142" s="282">
        <v>45838</v>
      </c>
      <c r="C142" s="46"/>
      <c r="D142" s="46"/>
      <c r="E142" s="279"/>
      <c r="F142" s="46" t="s">
        <v>306</v>
      </c>
      <c r="G142" s="279">
        <f t="shared" si="4"/>
        <v>2251.0176200000001</v>
      </c>
      <c r="H142" s="46"/>
      <c r="I142" s="46"/>
    </row>
    <row r="143" spans="1:9" x14ac:dyDescent="0.25">
      <c r="A143" s="46">
        <v>6</v>
      </c>
      <c r="B143" s="282">
        <v>46203</v>
      </c>
      <c r="C143" s="46"/>
      <c r="D143" s="46"/>
      <c r="E143" s="279"/>
      <c r="F143" s="46" t="s">
        <v>307</v>
      </c>
      <c r="G143" s="279">
        <f t="shared" si="4"/>
        <v>2318.5481485999999</v>
      </c>
      <c r="H143" s="279"/>
      <c r="I143" s="46"/>
    </row>
    <row r="144" spans="1:9" x14ac:dyDescent="0.25">
      <c r="A144" s="46">
        <v>7</v>
      </c>
      <c r="B144" s="282">
        <v>46568</v>
      </c>
      <c r="C144" s="46"/>
      <c r="D144" s="46"/>
      <c r="E144" s="279"/>
      <c r="F144" s="46" t="s">
        <v>308</v>
      </c>
      <c r="G144" s="279">
        <f t="shared" si="4"/>
        <v>2388.1045930579999</v>
      </c>
      <c r="H144" s="46"/>
      <c r="I144" s="46"/>
    </row>
    <row r="145" spans="1:9" x14ac:dyDescent="0.25">
      <c r="A145" s="46">
        <v>8</v>
      </c>
      <c r="B145" s="282">
        <v>46934</v>
      </c>
      <c r="C145" s="46"/>
      <c r="D145" s="46"/>
      <c r="E145" s="279"/>
      <c r="F145" s="46" t="s">
        <v>309</v>
      </c>
      <c r="G145" s="279">
        <f t="shared" si="4"/>
        <v>2459.74773084974</v>
      </c>
      <c r="H145" s="46"/>
      <c r="I145" s="46"/>
    </row>
    <row r="146" spans="1:9" x14ac:dyDescent="0.25">
      <c r="A146" s="46">
        <v>9</v>
      </c>
      <c r="B146" s="282">
        <v>47299</v>
      </c>
      <c r="C146" s="46"/>
      <c r="D146" s="46"/>
      <c r="E146" s="279"/>
      <c r="F146" s="46" t="s">
        <v>310</v>
      </c>
      <c r="G146" s="279">
        <f t="shared" si="4"/>
        <v>2533.5401627752321</v>
      </c>
      <c r="H146" s="46"/>
      <c r="I146" s="46"/>
    </row>
    <row r="147" spans="1:9" x14ac:dyDescent="0.25">
      <c r="A147" s="46">
        <v>10</v>
      </c>
      <c r="B147" s="282">
        <v>47664</v>
      </c>
      <c r="C147" s="46"/>
      <c r="D147" s="46"/>
      <c r="E147" s="279"/>
      <c r="F147" s="46" t="s">
        <v>311</v>
      </c>
      <c r="G147" s="279">
        <f t="shared" si="4"/>
        <v>2609.5463676584891</v>
      </c>
      <c r="H147" s="46"/>
      <c r="I147" s="46"/>
    </row>
    <row r="148" spans="1:9" x14ac:dyDescent="0.25">
      <c r="A148">
        <v>11</v>
      </c>
      <c r="B148" s="278">
        <v>48029</v>
      </c>
      <c r="E148" s="2"/>
      <c r="F148" t="s">
        <v>312</v>
      </c>
      <c r="G148" s="2"/>
    </row>
    <row r="149" spans="1:9" x14ac:dyDescent="0.25">
      <c r="A149">
        <v>12</v>
      </c>
      <c r="B149" s="278">
        <v>48395</v>
      </c>
      <c r="E149" s="2"/>
      <c r="F149" t="s">
        <v>313</v>
      </c>
      <c r="G149" s="2">
        <f t="shared" ref="G149:G162" si="5">G148*0.03+G148</f>
        <v>0</v>
      </c>
    </row>
    <row r="150" spans="1:9" x14ac:dyDescent="0.25">
      <c r="A150">
        <v>13</v>
      </c>
      <c r="B150" s="278">
        <v>48760</v>
      </c>
      <c r="E150" s="2"/>
      <c r="F150" t="s">
        <v>314</v>
      </c>
      <c r="G150" s="2">
        <f t="shared" si="5"/>
        <v>0</v>
      </c>
    </row>
    <row r="151" spans="1:9" x14ac:dyDescent="0.25">
      <c r="A151">
        <v>14</v>
      </c>
      <c r="B151" s="278">
        <v>49125</v>
      </c>
      <c r="E151" s="2"/>
      <c r="F151" t="s">
        <v>315</v>
      </c>
      <c r="G151" s="2">
        <f t="shared" si="5"/>
        <v>0</v>
      </c>
    </row>
    <row r="152" spans="1:9" x14ac:dyDescent="0.25">
      <c r="A152">
        <v>15</v>
      </c>
      <c r="B152" s="278">
        <v>49490</v>
      </c>
      <c r="E152" s="2"/>
      <c r="F152" t="s">
        <v>316</v>
      </c>
      <c r="G152" s="2">
        <f t="shared" si="5"/>
        <v>0</v>
      </c>
    </row>
    <row r="153" spans="1:9" x14ac:dyDescent="0.25">
      <c r="A153">
        <v>16</v>
      </c>
      <c r="B153" s="278">
        <v>49856</v>
      </c>
      <c r="E153" s="2"/>
      <c r="F153" t="s">
        <v>317</v>
      </c>
      <c r="G153" s="2">
        <f t="shared" si="5"/>
        <v>0</v>
      </c>
    </row>
    <row r="154" spans="1:9" x14ac:dyDescent="0.25">
      <c r="A154">
        <v>17</v>
      </c>
      <c r="B154" s="278">
        <v>50221</v>
      </c>
      <c r="E154" s="2"/>
      <c r="F154" t="s">
        <v>318</v>
      </c>
      <c r="G154" s="2">
        <f t="shared" si="5"/>
        <v>0</v>
      </c>
    </row>
    <row r="155" spans="1:9" x14ac:dyDescent="0.25">
      <c r="A155">
        <v>18</v>
      </c>
      <c r="B155" s="278">
        <v>50586</v>
      </c>
      <c r="E155" s="2"/>
      <c r="F155" t="s">
        <v>319</v>
      </c>
      <c r="G155" s="2">
        <f t="shared" si="5"/>
        <v>0</v>
      </c>
    </row>
    <row r="156" spans="1:9" x14ac:dyDescent="0.25">
      <c r="A156">
        <v>19</v>
      </c>
      <c r="B156" s="278">
        <v>50951</v>
      </c>
      <c r="E156" s="2"/>
      <c r="F156" t="s">
        <v>320</v>
      </c>
      <c r="G156" s="2">
        <f t="shared" si="5"/>
        <v>0</v>
      </c>
    </row>
    <row r="157" spans="1:9" x14ac:dyDescent="0.25">
      <c r="A157">
        <v>20</v>
      </c>
      <c r="B157" s="278">
        <v>51317</v>
      </c>
      <c r="E157" s="2"/>
      <c r="F157" t="s">
        <v>321</v>
      </c>
      <c r="G157" s="2">
        <f t="shared" si="5"/>
        <v>0</v>
      </c>
    </row>
    <row r="158" spans="1:9" x14ac:dyDescent="0.25">
      <c r="A158">
        <v>21</v>
      </c>
      <c r="B158" s="278">
        <v>51682</v>
      </c>
      <c r="E158" s="2"/>
      <c r="F158" t="s">
        <v>322</v>
      </c>
      <c r="G158" s="2">
        <f t="shared" si="5"/>
        <v>0</v>
      </c>
    </row>
    <row r="159" spans="1:9" x14ac:dyDescent="0.25">
      <c r="A159">
        <v>22</v>
      </c>
      <c r="B159" s="278">
        <v>52047</v>
      </c>
      <c r="E159" s="2"/>
      <c r="F159" t="s">
        <v>323</v>
      </c>
      <c r="G159" s="2">
        <f t="shared" si="5"/>
        <v>0</v>
      </c>
    </row>
    <row r="160" spans="1:9" x14ac:dyDescent="0.25">
      <c r="A160">
        <v>23</v>
      </c>
      <c r="B160" s="278">
        <v>52412</v>
      </c>
      <c r="E160" s="2"/>
      <c r="F160" t="s">
        <v>324</v>
      </c>
      <c r="G160" s="2">
        <f t="shared" si="5"/>
        <v>0</v>
      </c>
    </row>
    <row r="161" spans="1:9" ht="15" customHeight="1" x14ac:dyDescent="0.25">
      <c r="A161">
        <v>24</v>
      </c>
      <c r="B161" s="278">
        <v>52778</v>
      </c>
      <c r="E161" s="2"/>
      <c r="F161" t="s">
        <v>325</v>
      </c>
      <c r="G161" s="2">
        <f t="shared" si="5"/>
        <v>0</v>
      </c>
    </row>
    <row r="162" spans="1:9" x14ac:dyDescent="0.25">
      <c r="A162">
        <v>25</v>
      </c>
      <c r="B162" s="278">
        <v>53143</v>
      </c>
      <c r="E162" s="2"/>
      <c r="F162" t="s">
        <v>326</v>
      </c>
      <c r="G162" s="2">
        <f t="shared" si="5"/>
        <v>0</v>
      </c>
    </row>
    <row r="163" spans="1:9" x14ac:dyDescent="0.25">
      <c r="B163" s="278"/>
      <c r="E163" s="2"/>
      <c r="G163" s="2"/>
    </row>
    <row r="164" spans="1:9" x14ac:dyDescent="0.25">
      <c r="B164" s="278"/>
      <c r="E164" s="2"/>
      <c r="G164" s="2">
        <f>SUM(G138:G163)</f>
        <v>22927.758622941463</v>
      </c>
    </row>
    <row r="165" spans="1:9" x14ac:dyDescent="0.25">
      <c r="B165" s="278"/>
      <c r="E165" s="2"/>
      <c r="G165" s="2"/>
    </row>
    <row r="166" spans="1:9" x14ac:dyDescent="0.25">
      <c r="B166" s="278"/>
      <c r="E166" s="2"/>
      <c r="G166" s="2"/>
    </row>
    <row r="167" spans="1:9" x14ac:dyDescent="0.25">
      <c r="B167" s="278"/>
      <c r="E167" s="2"/>
      <c r="G167" s="2"/>
    </row>
    <row r="168" spans="1:9" x14ac:dyDescent="0.25">
      <c r="B168" s="278"/>
      <c r="E168" s="2"/>
      <c r="G168" s="2"/>
    </row>
    <row r="169" spans="1:9" x14ac:dyDescent="0.25">
      <c r="B169" s="278"/>
      <c r="E169" s="2"/>
      <c r="G169" s="2"/>
    </row>
    <row r="170" spans="1:9" x14ac:dyDescent="0.25">
      <c r="E170" s="18"/>
    </row>
    <row r="171" spans="1:9" x14ac:dyDescent="0.25">
      <c r="C171" s="36" t="s">
        <v>332</v>
      </c>
      <c r="D171" s="36">
        <v>300</v>
      </c>
      <c r="E171" s="18"/>
      <c r="F171" s="18"/>
      <c r="G171" s="18"/>
      <c r="H171" s="18"/>
      <c r="I171" s="18"/>
    </row>
    <row r="172" spans="1:9" x14ac:dyDescent="0.25">
      <c r="C172" s="43" t="s">
        <v>302</v>
      </c>
      <c r="D172" s="43"/>
      <c r="E172" s="18"/>
      <c r="F172" s="18"/>
      <c r="G172" s="18"/>
      <c r="H172" s="18"/>
      <c r="I172" s="18"/>
    </row>
    <row r="173" spans="1:9" s="287" customFormat="1" ht="15.75" thickBot="1" x14ac:dyDescent="0.3">
      <c r="A173" s="18"/>
      <c r="B173" s="18"/>
      <c r="C173" s="43" t="s">
        <v>194</v>
      </c>
      <c r="D173" s="288">
        <f t="shared" ref="D173:D182" si="6">G138</f>
        <v>2000</v>
      </c>
      <c r="E173" s="235"/>
      <c r="F173" s="18"/>
      <c r="G173" s="18"/>
      <c r="H173" s="18"/>
      <c r="I173" s="18"/>
    </row>
    <row r="174" spans="1:9" s="287" customFormat="1" ht="15.75" thickTop="1" x14ac:dyDescent="0.25">
      <c r="A174" s="18"/>
      <c r="B174" s="18"/>
      <c r="C174" s="43" t="s">
        <v>303</v>
      </c>
      <c r="D174" s="107">
        <f t="shared" si="6"/>
        <v>2060</v>
      </c>
      <c r="E174" s="235"/>
      <c r="F174" s="18"/>
      <c r="G174" s="18"/>
      <c r="H174" s="18"/>
      <c r="I174" s="18"/>
    </row>
    <row r="175" spans="1:9" s="287" customFormat="1" x14ac:dyDescent="0.25">
      <c r="A175" s="18"/>
      <c r="B175" s="18"/>
      <c r="C175" s="43" t="s">
        <v>304</v>
      </c>
      <c r="D175" s="107">
        <f t="shared" si="6"/>
        <v>2121.8000000000002</v>
      </c>
      <c r="E175" s="235"/>
      <c r="F175" s="18"/>
      <c r="G175" s="18"/>
      <c r="H175" s="18"/>
      <c r="I175" s="18"/>
    </row>
    <row r="176" spans="1:9" s="287" customFormat="1" x14ac:dyDescent="0.25">
      <c r="A176" s="18"/>
      <c r="B176" s="18"/>
      <c r="C176" s="43" t="s">
        <v>305</v>
      </c>
      <c r="D176" s="107">
        <f t="shared" si="6"/>
        <v>2185.4540000000002</v>
      </c>
      <c r="E176" s="235"/>
      <c r="F176" s="18"/>
      <c r="G176" s="18"/>
      <c r="H176" s="18"/>
      <c r="I176" s="18"/>
    </row>
    <row r="177" spans="1:9" s="287" customFormat="1" x14ac:dyDescent="0.25">
      <c r="A177" s="18"/>
      <c r="B177" s="18"/>
      <c r="C177" s="43" t="s">
        <v>306</v>
      </c>
      <c r="D177" s="107">
        <f t="shared" si="6"/>
        <v>2251.0176200000001</v>
      </c>
      <c r="E177" s="235"/>
      <c r="F177" s="18"/>
      <c r="G177" s="18"/>
      <c r="H177" s="18"/>
      <c r="I177" s="18"/>
    </row>
    <row r="178" spans="1:9" s="287" customFormat="1" x14ac:dyDescent="0.25">
      <c r="A178" s="18"/>
      <c r="B178" s="18"/>
      <c r="C178" s="43" t="s">
        <v>307</v>
      </c>
      <c r="D178" s="107">
        <f t="shared" si="6"/>
        <v>2318.5481485999999</v>
      </c>
      <c r="E178" s="235"/>
      <c r="F178" s="18"/>
      <c r="G178" s="18"/>
      <c r="H178" s="18"/>
      <c r="I178" s="18"/>
    </row>
    <row r="179" spans="1:9" s="287" customFormat="1" x14ac:dyDescent="0.25">
      <c r="A179" s="18"/>
      <c r="B179" s="18"/>
      <c r="C179" s="43" t="s">
        <v>308</v>
      </c>
      <c r="D179" s="107">
        <f t="shared" si="6"/>
        <v>2388.1045930579999</v>
      </c>
      <c r="E179" s="235"/>
      <c r="F179" s="18"/>
      <c r="G179" s="18"/>
      <c r="H179" s="18"/>
      <c r="I179" s="18"/>
    </row>
    <row r="180" spans="1:9" s="287" customFormat="1" x14ac:dyDescent="0.25">
      <c r="A180" s="18"/>
      <c r="B180" s="18"/>
      <c r="C180" s="43" t="s">
        <v>309</v>
      </c>
      <c r="D180" s="107">
        <f t="shared" si="6"/>
        <v>2459.74773084974</v>
      </c>
      <c r="E180" s="235"/>
      <c r="F180" s="18"/>
      <c r="G180" s="18"/>
      <c r="H180" s="18"/>
      <c r="I180" s="18"/>
    </row>
    <row r="181" spans="1:9" s="287" customFormat="1" x14ac:dyDescent="0.25">
      <c r="A181" s="18"/>
      <c r="B181" s="18"/>
      <c r="C181" s="43" t="s">
        <v>310</v>
      </c>
      <c r="D181" s="107">
        <f t="shared" si="6"/>
        <v>2533.5401627752321</v>
      </c>
      <c r="E181" s="235"/>
      <c r="F181" s="18"/>
      <c r="G181" s="18"/>
      <c r="H181" s="18"/>
      <c r="I181" s="18"/>
    </row>
    <row r="182" spans="1:9" s="287" customFormat="1" x14ac:dyDescent="0.25">
      <c r="A182" s="18"/>
      <c r="B182" s="18"/>
      <c r="C182" s="43" t="s">
        <v>311</v>
      </c>
      <c r="D182" s="107">
        <f t="shared" si="6"/>
        <v>2609.5463676584891</v>
      </c>
      <c r="E182" s="235"/>
      <c r="F182" s="18"/>
      <c r="G182" s="18"/>
      <c r="H182" s="18"/>
      <c r="I182" s="18"/>
    </row>
    <row r="183" spans="1:9" x14ac:dyDescent="0.25">
      <c r="C183" t="s">
        <v>312</v>
      </c>
      <c r="E183" s="18"/>
    </row>
    <row r="184" spans="1:9" x14ac:dyDescent="0.25">
      <c r="C184" t="s">
        <v>313</v>
      </c>
    </row>
    <row r="185" spans="1:9" x14ac:dyDescent="0.25">
      <c r="C185" t="s">
        <v>314</v>
      </c>
    </row>
    <row r="186" spans="1:9" x14ac:dyDescent="0.25">
      <c r="C186" t="s">
        <v>315</v>
      </c>
    </row>
    <row r="187" spans="1:9" x14ac:dyDescent="0.25">
      <c r="C187" t="s">
        <v>316</v>
      </c>
    </row>
    <row r="188" spans="1:9" x14ac:dyDescent="0.25">
      <c r="C188" t="s">
        <v>317</v>
      </c>
    </row>
    <row r="189" spans="1:9" x14ac:dyDescent="0.25">
      <c r="C189" t="s">
        <v>318</v>
      </c>
    </row>
    <row r="190" spans="1:9" x14ac:dyDescent="0.25">
      <c r="C190" t="s">
        <v>319</v>
      </c>
    </row>
    <row r="191" spans="1:9" x14ac:dyDescent="0.25">
      <c r="C191" t="s">
        <v>320</v>
      </c>
    </row>
    <row r="192" spans="1:9" x14ac:dyDescent="0.25">
      <c r="C192" t="s">
        <v>321</v>
      </c>
    </row>
    <row r="193" spans="1:9" x14ac:dyDescent="0.25">
      <c r="C193" t="s">
        <v>322</v>
      </c>
    </row>
    <row r="194" spans="1:9" x14ac:dyDescent="0.25">
      <c r="C194" t="s">
        <v>323</v>
      </c>
    </row>
    <row r="195" spans="1:9" x14ac:dyDescent="0.25">
      <c r="C195" t="s">
        <v>324</v>
      </c>
    </row>
    <row r="196" spans="1:9" x14ac:dyDescent="0.25">
      <c r="C196" t="s">
        <v>325</v>
      </c>
    </row>
    <row r="197" spans="1:9" x14ac:dyDescent="0.25">
      <c r="C197" t="s">
        <v>326</v>
      </c>
    </row>
    <row r="205" spans="1:9" ht="15.75" x14ac:dyDescent="0.25">
      <c r="A205" s="36" t="s">
        <v>347</v>
      </c>
      <c r="B205" s="36"/>
      <c r="C205" s="285"/>
      <c r="D205" s="60" t="s">
        <v>330</v>
      </c>
      <c r="E205" s="36" t="s">
        <v>331</v>
      </c>
      <c r="F205" s="36" t="s">
        <v>302</v>
      </c>
      <c r="G205" s="36"/>
      <c r="H205" s="36"/>
      <c r="I205" s="36"/>
    </row>
    <row r="206" spans="1:9" x14ac:dyDescent="0.25">
      <c r="A206" s="46">
        <v>1</v>
      </c>
      <c r="B206" s="282">
        <v>44377</v>
      </c>
      <c r="C206" s="46"/>
      <c r="D206" s="46"/>
      <c r="E206" s="279">
        <v>20000</v>
      </c>
      <c r="F206" s="46" t="s">
        <v>194</v>
      </c>
      <c r="G206" s="279">
        <f>E206/10</f>
        <v>2000</v>
      </c>
      <c r="H206" s="279"/>
      <c r="I206" s="46"/>
    </row>
    <row r="207" spans="1:9" x14ac:dyDescent="0.25">
      <c r="A207" s="46">
        <v>2</v>
      </c>
      <c r="B207" s="282">
        <v>44742</v>
      </c>
      <c r="C207" s="46"/>
      <c r="D207" s="46"/>
      <c r="E207" s="279"/>
      <c r="F207" s="46" t="s">
        <v>303</v>
      </c>
      <c r="G207" s="279">
        <f>G206*0.03 + G206</f>
        <v>2060</v>
      </c>
      <c r="H207" s="46"/>
      <c r="I207" s="46"/>
    </row>
    <row r="208" spans="1:9" x14ac:dyDescent="0.25">
      <c r="A208" s="46">
        <v>3</v>
      </c>
      <c r="B208" s="282">
        <v>45107</v>
      </c>
      <c r="C208" s="46"/>
      <c r="D208" s="46"/>
      <c r="E208" s="279"/>
      <c r="F208" s="46" t="s">
        <v>304</v>
      </c>
      <c r="G208" s="279">
        <f t="shared" ref="G208:G215" si="7">G207*0.03+G207</f>
        <v>2121.8000000000002</v>
      </c>
      <c r="H208" s="284"/>
      <c r="I208" s="46"/>
    </row>
    <row r="209" spans="1:9" x14ac:dyDescent="0.25">
      <c r="A209" s="46">
        <v>4</v>
      </c>
      <c r="B209" s="282">
        <v>45473</v>
      </c>
      <c r="C209" s="46"/>
      <c r="D209" s="46" t="s">
        <v>18</v>
      </c>
      <c r="E209" s="279"/>
      <c r="F209" s="46" t="s">
        <v>305</v>
      </c>
      <c r="G209" s="279">
        <f t="shared" si="7"/>
        <v>2185.4540000000002</v>
      </c>
      <c r="H209" s="46"/>
      <c r="I209" s="46"/>
    </row>
    <row r="210" spans="1:9" x14ac:dyDescent="0.25">
      <c r="A210" s="46">
        <v>5</v>
      </c>
      <c r="B210" s="282">
        <v>45838</v>
      </c>
      <c r="C210" s="46"/>
      <c r="D210" s="46"/>
      <c r="E210" s="279"/>
      <c r="F210" s="46" t="s">
        <v>306</v>
      </c>
      <c r="G210" s="279">
        <f t="shared" si="7"/>
        <v>2251.0176200000001</v>
      </c>
      <c r="H210" s="46"/>
      <c r="I210" s="46"/>
    </row>
    <row r="211" spans="1:9" x14ac:dyDescent="0.25">
      <c r="A211" s="46">
        <v>6</v>
      </c>
      <c r="B211" s="282">
        <v>46203</v>
      </c>
      <c r="C211" s="46"/>
      <c r="D211" s="46"/>
      <c r="E211" s="279"/>
      <c r="F211" s="46" t="s">
        <v>307</v>
      </c>
      <c r="G211" s="279">
        <f t="shared" si="7"/>
        <v>2318.5481485999999</v>
      </c>
      <c r="H211" s="279"/>
      <c r="I211" s="46"/>
    </row>
    <row r="212" spans="1:9" x14ac:dyDescent="0.25">
      <c r="A212" s="46">
        <v>7</v>
      </c>
      <c r="B212" s="282">
        <v>46568</v>
      </c>
      <c r="C212" s="46"/>
      <c r="D212" s="46"/>
      <c r="E212" s="279"/>
      <c r="F212" s="46" t="s">
        <v>308</v>
      </c>
      <c r="G212" s="279">
        <f t="shared" si="7"/>
        <v>2388.1045930579999</v>
      </c>
      <c r="H212" s="46"/>
      <c r="I212" s="46"/>
    </row>
    <row r="213" spans="1:9" x14ac:dyDescent="0.25">
      <c r="A213" s="46">
        <v>8</v>
      </c>
      <c r="B213" s="282">
        <v>46934</v>
      </c>
      <c r="C213" s="46"/>
      <c r="D213" s="46"/>
      <c r="E213" s="279"/>
      <c r="F213" s="46" t="s">
        <v>309</v>
      </c>
      <c r="G213" s="279">
        <f t="shared" si="7"/>
        <v>2459.74773084974</v>
      </c>
      <c r="H213" s="46"/>
      <c r="I213" s="46"/>
    </row>
    <row r="214" spans="1:9" x14ac:dyDescent="0.25">
      <c r="A214" s="46">
        <v>9</v>
      </c>
      <c r="B214" s="282">
        <v>47299</v>
      </c>
      <c r="C214" s="46"/>
      <c r="D214" s="46"/>
      <c r="E214" s="279"/>
      <c r="F214" s="46" t="s">
        <v>310</v>
      </c>
      <c r="G214" s="279">
        <f t="shared" si="7"/>
        <v>2533.5401627752321</v>
      </c>
      <c r="H214" s="46"/>
      <c r="I214" s="46"/>
    </row>
    <row r="215" spans="1:9" x14ac:dyDescent="0.25">
      <c r="A215" s="46">
        <v>10</v>
      </c>
      <c r="B215" s="282">
        <v>47664</v>
      </c>
      <c r="C215" s="46"/>
      <c r="D215" s="46"/>
      <c r="E215" s="279"/>
      <c r="F215" s="46" t="s">
        <v>311</v>
      </c>
      <c r="G215" s="279">
        <f t="shared" si="7"/>
        <v>2609.5463676584891</v>
      </c>
      <c r="H215" s="46"/>
      <c r="I215" s="46"/>
    </row>
    <row r="216" spans="1:9" x14ac:dyDescent="0.25">
      <c r="A216">
        <v>11</v>
      </c>
      <c r="B216" s="278">
        <v>48029</v>
      </c>
      <c r="E216" s="2"/>
      <c r="F216" t="s">
        <v>312</v>
      </c>
      <c r="G216" s="2"/>
    </row>
    <row r="217" spans="1:9" x14ac:dyDescent="0.25">
      <c r="A217">
        <v>12</v>
      </c>
      <c r="B217" s="278">
        <v>48395</v>
      </c>
      <c r="E217" s="2"/>
      <c r="F217" t="s">
        <v>313</v>
      </c>
      <c r="G217" s="2">
        <f t="shared" ref="G217:G230" si="8">G216*0.03+G216</f>
        <v>0</v>
      </c>
    </row>
    <row r="218" spans="1:9" x14ac:dyDescent="0.25">
      <c r="A218">
        <v>13</v>
      </c>
      <c r="B218" s="278">
        <v>48760</v>
      </c>
      <c r="E218" s="2"/>
      <c r="F218" t="s">
        <v>314</v>
      </c>
      <c r="G218" s="2">
        <f t="shared" si="8"/>
        <v>0</v>
      </c>
    </row>
    <row r="219" spans="1:9" x14ac:dyDescent="0.25">
      <c r="A219">
        <v>14</v>
      </c>
      <c r="B219" s="278">
        <v>49125</v>
      </c>
      <c r="E219" s="2"/>
      <c r="F219" t="s">
        <v>315</v>
      </c>
      <c r="G219" s="2">
        <f t="shared" si="8"/>
        <v>0</v>
      </c>
    </row>
    <row r="220" spans="1:9" x14ac:dyDescent="0.25">
      <c r="A220">
        <v>15</v>
      </c>
      <c r="B220" s="278">
        <v>49490</v>
      </c>
      <c r="E220" s="2"/>
      <c r="F220" t="s">
        <v>316</v>
      </c>
      <c r="G220" s="2">
        <f t="shared" si="8"/>
        <v>0</v>
      </c>
    </row>
    <row r="221" spans="1:9" x14ac:dyDescent="0.25">
      <c r="A221">
        <v>16</v>
      </c>
      <c r="B221" s="278">
        <v>49856</v>
      </c>
      <c r="E221" s="2"/>
      <c r="F221" t="s">
        <v>317</v>
      </c>
      <c r="G221" s="2">
        <f t="shared" si="8"/>
        <v>0</v>
      </c>
    </row>
    <row r="222" spans="1:9" x14ac:dyDescent="0.25">
      <c r="A222">
        <v>17</v>
      </c>
      <c r="B222" s="278">
        <v>50221</v>
      </c>
      <c r="E222" s="2"/>
      <c r="F222" t="s">
        <v>318</v>
      </c>
      <c r="G222" s="2">
        <f t="shared" si="8"/>
        <v>0</v>
      </c>
    </row>
    <row r="223" spans="1:9" x14ac:dyDescent="0.25">
      <c r="A223">
        <v>18</v>
      </c>
      <c r="B223" s="278">
        <v>50586</v>
      </c>
      <c r="E223" s="2"/>
      <c r="F223" t="s">
        <v>319</v>
      </c>
      <c r="G223" s="2">
        <f t="shared" si="8"/>
        <v>0</v>
      </c>
    </row>
    <row r="224" spans="1:9" x14ac:dyDescent="0.25">
      <c r="A224">
        <v>19</v>
      </c>
      <c r="B224" s="278">
        <v>50951</v>
      </c>
      <c r="E224" s="2"/>
      <c r="F224" t="s">
        <v>320</v>
      </c>
      <c r="G224" s="2">
        <f t="shared" si="8"/>
        <v>0</v>
      </c>
    </row>
    <row r="225" spans="1:9" x14ac:dyDescent="0.25">
      <c r="A225">
        <v>20</v>
      </c>
      <c r="B225" s="278">
        <v>51317</v>
      </c>
      <c r="E225" s="2"/>
      <c r="F225" t="s">
        <v>321</v>
      </c>
      <c r="G225" s="2">
        <f t="shared" si="8"/>
        <v>0</v>
      </c>
    </row>
    <row r="226" spans="1:9" x14ac:dyDescent="0.25">
      <c r="A226">
        <v>21</v>
      </c>
      <c r="B226" s="278">
        <v>51682</v>
      </c>
      <c r="E226" s="2"/>
      <c r="F226" t="s">
        <v>322</v>
      </c>
      <c r="G226" s="2">
        <f t="shared" si="8"/>
        <v>0</v>
      </c>
    </row>
    <row r="227" spans="1:9" x14ac:dyDescent="0.25">
      <c r="A227">
        <v>22</v>
      </c>
      <c r="B227" s="278">
        <v>52047</v>
      </c>
      <c r="E227" s="2"/>
      <c r="F227" t="s">
        <v>323</v>
      </c>
      <c r="G227" s="2">
        <f t="shared" si="8"/>
        <v>0</v>
      </c>
    </row>
    <row r="228" spans="1:9" x14ac:dyDescent="0.25">
      <c r="A228">
        <v>23</v>
      </c>
      <c r="B228" s="278">
        <v>52412</v>
      </c>
      <c r="E228" s="2"/>
      <c r="F228" t="s">
        <v>324</v>
      </c>
      <c r="G228" s="2">
        <f t="shared" si="8"/>
        <v>0</v>
      </c>
    </row>
    <row r="229" spans="1:9" ht="15" customHeight="1" x14ac:dyDescent="0.25">
      <c r="A229">
        <v>24</v>
      </c>
      <c r="B229" s="278">
        <v>52778</v>
      </c>
      <c r="E229" s="2"/>
      <c r="F229" t="s">
        <v>325</v>
      </c>
      <c r="G229" s="2">
        <f t="shared" si="8"/>
        <v>0</v>
      </c>
    </row>
    <row r="230" spans="1:9" x14ac:dyDescent="0.25">
      <c r="A230">
        <v>25</v>
      </c>
      <c r="B230" s="278">
        <v>53143</v>
      </c>
      <c r="E230" s="2"/>
      <c r="F230" t="s">
        <v>326</v>
      </c>
      <c r="G230" s="2">
        <f t="shared" si="8"/>
        <v>0</v>
      </c>
    </row>
    <row r="231" spans="1:9" x14ac:dyDescent="0.25">
      <c r="B231" s="278"/>
      <c r="E231" s="2"/>
      <c r="G231" s="2"/>
    </row>
    <row r="232" spans="1:9" x14ac:dyDescent="0.25">
      <c r="B232" s="278"/>
      <c r="E232" s="2"/>
      <c r="G232" s="2">
        <f>SUM(G206:G231)</f>
        <v>22927.758622941463</v>
      </c>
    </row>
    <row r="233" spans="1:9" x14ac:dyDescent="0.25">
      <c r="B233" s="278"/>
      <c r="E233" s="2"/>
      <c r="G233" s="2"/>
    </row>
    <row r="234" spans="1:9" x14ac:dyDescent="0.25">
      <c r="B234" s="278"/>
      <c r="E234" s="2"/>
      <c r="G234" s="2"/>
    </row>
    <row r="235" spans="1:9" x14ac:dyDescent="0.25">
      <c r="B235" s="278"/>
      <c r="E235" s="2"/>
      <c r="G235" s="2"/>
    </row>
    <row r="236" spans="1:9" x14ac:dyDescent="0.25">
      <c r="B236" s="278"/>
      <c r="E236" s="2"/>
      <c r="G236" s="2"/>
    </row>
    <row r="237" spans="1:9" x14ac:dyDescent="0.25">
      <c r="B237" s="278"/>
      <c r="E237" s="2"/>
      <c r="G237" s="2"/>
    </row>
    <row r="239" spans="1:9" x14ac:dyDescent="0.25">
      <c r="C239" s="36" t="s">
        <v>332</v>
      </c>
      <c r="D239" s="36">
        <v>300</v>
      </c>
      <c r="E239" s="18"/>
      <c r="F239" s="18"/>
      <c r="G239" s="18"/>
      <c r="H239" s="18"/>
      <c r="I239" s="18"/>
    </row>
    <row r="240" spans="1:9" x14ac:dyDescent="0.25">
      <c r="C240" s="43" t="s">
        <v>302</v>
      </c>
      <c r="D240" s="43"/>
      <c r="E240" s="18"/>
      <c r="F240" s="18"/>
      <c r="G240" s="18"/>
      <c r="H240" s="18"/>
      <c r="I240" s="18"/>
    </row>
    <row r="241" spans="1:9" s="287" customFormat="1" ht="15.75" thickBot="1" x14ac:dyDescent="0.3">
      <c r="A241" s="18"/>
      <c r="B241" s="18"/>
      <c r="C241" s="43" t="s">
        <v>194</v>
      </c>
      <c r="D241" s="288">
        <f t="shared" ref="D241:D250" si="9">G206</f>
        <v>2000</v>
      </c>
      <c r="E241" s="235"/>
      <c r="F241" s="18"/>
      <c r="G241" s="18"/>
      <c r="H241" s="18"/>
      <c r="I241" s="18"/>
    </row>
    <row r="242" spans="1:9" s="287" customFormat="1" ht="15.75" thickTop="1" x14ac:dyDescent="0.25">
      <c r="A242" s="18"/>
      <c r="B242" s="18"/>
      <c r="C242" s="43" t="s">
        <v>303</v>
      </c>
      <c r="D242" s="107">
        <f t="shared" si="9"/>
        <v>2060</v>
      </c>
      <c r="E242" s="235"/>
      <c r="F242" s="18"/>
      <c r="G242" s="18"/>
      <c r="H242" s="18"/>
      <c r="I242" s="18"/>
    </row>
    <row r="243" spans="1:9" s="287" customFormat="1" x14ac:dyDescent="0.25">
      <c r="A243" s="18"/>
      <c r="B243" s="18"/>
      <c r="C243" s="43" t="s">
        <v>304</v>
      </c>
      <c r="D243" s="107">
        <f t="shared" si="9"/>
        <v>2121.8000000000002</v>
      </c>
      <c r="E243" s="235"/>
      <c r="F243" s="18"/>
      <c r="G243" s="18"/>
      <c r="H243" s="18"/>
      <c r="I243" s="18"/>
    </row>
    <row r="244" spans="1:9" s="287" customFormat="1" x14ac:dyDescent="0.25">
      <c r="A244" s="18"/>
      <c r="B244" s="18"/>
      <c r="C244" s="43" t="s">
        <v>305</v>
      </c>
      <c r="D244" s="107">
        <f t="shared" si="9"/>
        <v>2185.4540000000002</v>
      </c>
      <c r="E244" s="235"/>
      <c r="F244" s="18"/>
      <c r="G244" s="18"/>
      <c r="H244" s="18"/>
      <c r="I244" s="18"/>
    </row>
    <row r="245" spans="1:9" s="287" customFormat="1" x14ac:dyDescent="0.25">
      <c r="A245" s="18"/>
      <c r="B245" s="18"/>
      <c r="C245" s="43" t="s">
        <v>306</v>
      </c>
      <c r="D245" s="107">
        <f t="shared" si="9"/>
        <v>2251.0176200000001</v>
      </c>
      <c r="E245" s="235"/>
      <c r="F245" s="18"/>
      <c r="G245" s="18"/>
      <c r="H245" s="18"/>
      <c r="I245" s="18"/>
    </row>
    <row r="246" spans="1:9" s="287" customFormat="1" x14ac:dyDescent="0.25">
      <c r="A246" s="18"/>
      <c r="B246" s="18"/>
      <c r="C246" s="43" t="s">
        <v>307</v>
      </c>
      <c r="D246" s="107">
        <f t="shared" si="9"/>
        <v>2318.5481485999999</v>
      </c>
      <c r="E246" s="235"/>
      <c r="F246" s="18"/>
      <c r="G246" s="18"/>
      <c r="H246" s="18"/>
      <c r="I246" s="18"/>
    </row>
    <row r="247" spans="1:9" s="287" customFormat="1" x14ac:dyDescent="0.25">
      <c r="A247" s="18"/>
      <c r="B247" s="18"/>
      <c r="C247" s="43" t="s">
        <v>308</v>
      </c>
      <c r="D247" s="107">
        <f t="shared" si="9"/>
        <v>2388.1045930579999</v>
      </c>
      <c r="E247" s="235"/>
      <c r="F247" s="18"/>
      <c r="G247" s="18"/>
      <c r="H247" s="18"/>
      <c r="I247" s="18"/>
    </row>
    <row r="248" spans="1:9" s="287" customFormat="1" x14ac:dyDescent="0.25">
      <c r="A248" s="18"/>
      <c r="B248" s="18"/>
      <c r="C248" s="43" t="s">
        <v>309</v>
      </c>
      <c r="D248" s="107">
        <f t="shared" si="9"/>
        <v>2459.74773084974</v>
      </c>
      <c r="E248" s="235"/>
      <c r="F248" s="18"/>
      <c r="G248" s="18"/>
      <c r="H248" s="18"/>
      <c r="I248" s="18"/>
    </row>
    <row r="249" spans="1:9" s="287" customFormat="1" x14ac:dyDescent="0.25">
      <c r="A249" s="18"/>
      <c r="B249" s="18"/>
      <c r="C249" s="43" t="s">
        <v>310</v>
      </c>
      <c r="D249" s="107">
        <f t="shared" si="9"/>
        <v>2533.5401627752321</v>
      </c>
      <c r="E249" s="235"/>
      <c r="F249" s="18"/>
      <c r="G249" s="18"/>
      <c r="H249" s="18"/>
      <c r="I249" s="18"/>
    </row>
    <row r="250" spans="1:9" s="287" customFormat="1" x14ac:dyDescent="0.25">
      <c r="A250" s="18"/>
      <c r="B250" s="18"/>
      <c r="C250" s="43" t="s">
        <v>311</v>
      </c>
      <c r="D250" s="107">
        <f t="shared" si="9"/>
        <v>2609.5463676584891</v>
      </c>
      <c r="E250" s="235"/>
      <c r="F250" s="18"/>
      <c r="G250" s="18"/>
      <c r="H250" s="18"/>
      <c r="I250" s="18"/>
    </row>
    <row r="251" spans="1:9" x14ac:dyDescent="0.25">
      <c r="E251" s="18"/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25"/>
  <sheetViews>
    <sheetView topLeftCell="A160" workbookViewId="0">
      <selection activeCell="D10" sqref="D10"/>
    </sheetView>
  </sheetViews>
  <sheetFormatPr defaultRowHeight="15" x14ac:dyDescent="0.25"/>
  <cols>
    <col min="2" max="2" width="25.28515625" customWidth="1"/>
    <col min="3" max="3" width="24.140625" customWidth="1"/>
    <col min="4" max="4" width="16" customWidth="1"/>
    <col min="5" max="5" width="10" customWidth="1"/>
  </cols>
  <sheetData>
    <row r="1" spans="1:9" x14ac:dyDescent="0.25">
      <c r="A1" s="43"/>
      <c r="B1" s="43"/>
      <c r="C1" s="43"/>
      <c r="D1" s="43"/>
      <c r="E1" s="43"/>
    </row>
    <row r="2" spans="1:9" ht="21" x14ac:dyDescent="0.35">
      <c r="A2" s="106" t="s">
        <v>108</v>
      </c>
      <c r="B2" s="43" t="s">
        <v>111</v>
      </c>
      <c r="C2" s="110" t="s">
        <v>68</v>
      </c>
      <c r="D2" s="43"/>
      <c r="E2" s="43"/>
    </row>
    <row r="3" spans="1:9" x14ac:dyDescent="0.25">
      <c r="A3" s="43"/>
      <c r="B3" s="43"/>
      <c r="C3" s="43"/>
      <c r="D3" s="43"/>
      <c r="E3" s="43"/>
    </row>
    <row r="4" spans="1:9" ht="20.25" customHeight="1" x14ac:dyDescent="0.3">
      <c r="A4" s="36"/>
      <c r="B4" s="36"/>
      <c r="C4" s="120" t="s">
        <v>67</v>
      </c>
      <c r="D4" s="36"/>
      <c r="E4" s="116"/>
      <c r="F4" s="10"/>
    </row>
    <row r="5" spans="1:9" ht="20.25" customHeight="1" x14ac:dyDescent="0.3">
      <c r="A5" s="43"/>
      <c r="B5" s="43"/>
      <c r="C5" s="79"/>
      <c r="D5" s="43"/>
      <c r="E5" s="79"/>
      <c r="F5" s="10"/>
    </row>
    <row r="6" spans="1:9" ht="15.75" customHeight="1" x14ac:dyDescent="0.3">
      <c r="A6" s="36"/>
      <c r="B6" s="120"/>
      <c r="C6" s="122" t="s">
        <v>4</v>
      </c>
      <c r="D6" s="36"/>
      <c r="E6" s="36"/>
    </row>
    <row r="7" spans="1:9" ht="16.5" customHeight="1" x14ac:dyDescent="0.25">
      <c r="A7" s="42">
        <v>40100</v>
      </c>
      <c r="B7" s="43" t="s">
        <v>64</v>
      </c>
      <c r="C7" s="63">
        <f>'Revenue Worksheet'!B30</f>
        <v>560592</v>
      </c>
      <c r="D7" s="43"/>
      <c r="E7" s="108"/>
      <c r="I7" s="36"/>
    </row>
    <row r="8" spans="1:9" x14ac:dyDescent="0.25">
      <c r="A8" s="51">
        <v>40700</v>
      </c>
      <c r="B8" s="36" t="s">
        <v>69</v>
      </c>
      <c r="C8" s="64">
        <f>'Revenue Worksheet'!C4</f>
        <v>66700</v>
      </c>
      <c r="D8" s="36"/>
      <c r="E8" s="36"/>
    </row>
    <row r="9" spans="1:9" x14ac:dyDescent="0.25">
      <c r="A9" s="36"/>
      <c r="B9" s="36" t="s">
        <v>516</v>
      </c>
      <c r="C9" s="64">
        <f>'Revenue Worksheet'!D30</f>
        <v>4675</v>
      </c>
      <c r="D9" s="36"/>
      <c r="E9" s="36"/>
    </row>
    <row r="10" spans="1:9" x14ac:dyDescent="0.25">
      <c r="A10" s="36"/>
      <c r="B10" s="36" t="s">
        <v>67</v>
      </c>
      <c r="C10" s="258">
        <f>C7+C8+C9</f>
        <v>631967</v>
      </c>
      <c r="D10" s="36"/>
      <c r="E10" s="115"/>
    </row>
    <row r="11" spans="1:9" x14ac:dyDescent="0.25">
      <c r="A11" s="43"/>
      <c r="B11" s="113"/>
      <c r="C11" s="43"/>
      <c r="D11" s="43"/>
      <c r="E11" s="43"/>
    </row>
    <row r="12" spans="1:9" x14ac:dyDescent="0.25">
      <c r="A12" s="43"/>
      <c r="B12" s="113"/>
      <c r="C12" s="43"/>
      <c r="D12" s="43"/>
      <c r="E12" s="43"/>
    </row>
    <row r="13" spans="1:9" x14ac:dyDescent="0.25">
      <c r="A13" s="43"/>
      <c r="B13" s="113"/>
      <c r="C13" s="43"/>
      <c r="D13" s="43"/>
      <c r="E13" s="43"/>
    </row>
    <row r="14" spans="1:9" x14ac:dyDescent="0.25">
      <c r="A14" s="43"/>
      <c r="B14" s="113"/>
      <c r="C14" s="43"/>
      <c r="D14" s="43"/>
      <c r="E14" s="43"/>
    </row>
    <row r="15" spans="1:9" x14ac:dyDescent="0.25">
      <c r="A15" s="43"/>
      <c r="B15" s="43"/>
      <c r="C15" s="43"/>
      <c r="D15" s="43"/>
      <c r="E15" s="43"/>
    </row>
    <row r="16" spans="1:9" x14ac:dyDescent="0.25">
      <c r="A16" s="43"/>
      <c r="B16" s="43"/>
      <c r="C16" s="43"/>
      <c r="D16" s="43"/>
      <c r="E16" s="43"/>
    </row>
    <row r="17" spans="1:5" x14ac:dyDescent="0.25">
      <c r="A17" s="43"/>
      <c r="B17" s="43"/>
      <c r="C17" s="43"/>
      <c r="D17" s="108"/>
      <c r="E17" s="43"/>
    </row>
    <row r="18" spans="1:5" x14ac:dyDescent="0.25">
      <c r="A18" s="43"/>
      <c r="B18" s="43"/>
      <c r="C18" s="43"/>
      <c r="D18" s="108"/>
      <c r="E18" s="43"/>
    </row>
    <row r="19" spans="1:5" x14ac:dyDescent="0.25">
      <c r="A19" s="43"/>
      <c r="B19" s="43"/>
      <c r="C19" s="43"/>
      <c r="D19" s="108"/>
      <c r="E19" s="43"/>
    </row>
    <row r="20" spans="1:5" x14ac:dyDescent="0.25">
      <c r="A20" s="43"/>
      <c r="B20" s="43"/>
      <c r="C20" s="43"/>
      <c r="D20" s="43"/>
      <c r="E20" s="43"/>
    </row>
    <row r="21" spans="1:5" x14ac:dyDescent="0.25">
      <c r="A21" s="43"/>
      <c r="B21" s="43"/>
      <c r="C21" s="43"/>
      <c r="D21" s="118"/>
      <c r="E21" s="43"/>
    </row>
    <row r="22" spans="1:5" x14ac:dyDescent="0.25">
      <c r="A22" s="43"/>
      <c r="B22" s="43"/>
      <c r="C22" s="43"/>
      <c r="D22" s="43"/>
      <c r="E22" s="43"/>
    </row>
    <row r="23" spans="1:5" x14ac:dyDescent="0.25">
      <c r="A23" s="43"/>
      <c r="B23" s="43"/>
      <c r="C23" s="43"/>
      <c r="D23" s="43"/>
      <c r="E23" s="43"/>
    </row>
    <row r="24" spans="1:5" x14ac:dyDescent="0.25">
      <c r="A24" s="43"/>
      <c r="B24" s="43"/>
      <c r="C24" s="43"/>
      <c r="D24" s="43"/>
      <c r="E24" s="43"/>
    </row>
    <row r="25" spans="1:5" x14ac:dyDescent="0.25">
      <c r="A25" s="43"/>
      <c r="B25" s="43"/>
      <c r="C25" s="43"/>
      <c r="D25" s="43"/>
      <c r="E25" s="43"/>
    </row>
    <row r="26" spans="1:5" x14ac:dyDescent="0.25">
      <c r="A26" s="43"/>
      <c r="B26" s="43"/>
      <c r="C26" s="43"/>
      <c r="D26" s="43"/>
      <c r="E26" s="43"/>
    </row>
    <row r="27" spans="1:5" x14ac:dyDescent="0.25">
      <c r="A27" s="43"/>
      <c r="B27" s="43"/>
      <c r="C27" s="43"/>
      <c r="D27" s="43"/>
      <c r="E27" s="43"/>
    </row>
    <row r="28" spans="1:5" x14ac:dyDescent="0.25">
      <c r="A28" s="43"/>
      <c r="B28" s="43"/>
      <c r="C28" s="43"/>
      <c r="D28" s="43"/>
      <c r="E28" s="43"/>
    </row>
    <row r="29" spans="1:5" x14ac:dyDescent="0.25">
      <c r="A29" s="43"/>
      <c r="B29" s="43"/>
      <c r="C29" s="43"/>
      <c r="D29" s="43"/>
      <c r="E29" s="43"/>
    </row>
    <row r="30" spans="1:5" x14ac:dyDescent="0.25">
      <c r="A30" s="43"/>
      <c r="B30" s="43"/>
      <c r="C30" s="43"/>
      <c r="D30" s="43"/>
      <c r="E30" s="43"/>
    </row>
    <row r="31" spans="1:5" x14ac:dyDescent="0.25">
      <c r="A31" s="43"/>
      <c r="B31" s="43"/>
      <c r="C31" s="43"/>
      <c r="D31" s="43"/>
      <c r="E31" s="43"/>
    </row>
    <row r="32" spans="1:5" x14ac:dyDescent="0.25">
      <c r="A32" s="43"/>
      <c r="B32" s="43"/>
      <c r="C32" s="43"/>
      <c r="D32" s="43"/>
      <c r="E32" s="43"/>
    </row>
    <row r="33" spans="1:6" x14ac:dyDescent="0.25">
      <c r="A33" s="43"/>
      <c r="B33" s="43"/>
      <c r="C33" s="43"/>
      <c r="D33" s="43"/>
      <c r="E33" s="43"/>
    </row>
    <row r="34" spans="1:6" x14ac:dyDescent="0.25">
      <c r="A34" s="43"/>
      <c r="B34" s="43"/>
      <c r="C34" s="43"/>
      <c r="D34" s="43"/>
      <c r="E34" s="43"/>
    </row>
    <row r="35" spans="1:6" x14ac:dyDescent="0.25">
      <c r="A35" s="43"/>
      <c r="B35" s="43"/>
      <c r="C35" s="43"/>
      <c r="D35" s="43"/>
      <c r="E35" s="43"/>
    </row>
    <row r="36" spans="1:6" x14ac:dyDescent="0.25">
      <c r="A36" s="43"/>
      <c r="B36" s="43"/>
      <c r="C36" s="43"/>
      <c r="D36" s="43"/>
      <c r="E36" s="43"/>
    </row>
    <row r="37" spans="1:6" x14ac:dyDescent="0.25">
      <c r="A37" s="43"/>
      <c r="B37" s="43"/>
      <c r="C37" s="43"/>
      <c r="D37" s="43"/>
      <c r="E37" s="43"/>
    </row>
    <row r="38" spans="1:6" x14ac:dyDescent="0.25">
      <c r="A38" s="43"/>
      <c r="B38" s="43"/>
      <c r="C38" s="43"/>
      <c r="D38" s="43"/>
      <c r="E38" s="43"/>
    </row>
    <row r="39" spans="1:6" x14ac:dyDescent="0.25">
      <c r="A39" s="43"/>
      <c r="B39" s="43"/>
      <c r="C39" s="43"/>
      <c r="D39" s="43"/>
      <c r="E39" s="43"/>
    </row>
    <row r="40" spans="1:6" x14ac:dyDescent="0.25">
      <c r="A40" s="43"/>
      <c r="B40" s="43"/>
      <c r="C40" s="43"/>
      <c r="D40" s="43"/>
      <c r="E40" s="43"/>
    </row>
    <row r="41" spans="1:6" x14ac:dyDescent="0.25">
      <c r="A41" s="43"/>
      <c r="B41" s="43"/>
      <c r="C41" s="43"/>
      <c r="D41" s="43"/>
      <c r="E41" s="43"/>
    </row>
    <row r="42" spans="1:6" x14ac:dyDescent="0.25">
      <c r="A42" s="43"/>
      <c r="B42" s="43"/>
      <c r="C42" s="43"/>
      <c r="D42" s="43"/>
      <c r="E42" s="43"/>
    </row>
    <row r="43" spans="1:6" x14ac:dyDescent="0.25">
      <c r="A43" s="43"/>
      <c r="B43" s="43"/>
      <c r="C43" s="43"/>
      <c r="D43" s="43"/>
      <c r="E43" s="43"/>
    </row>
    <row r="44" spans="1:6" x14ac:dyDescent="0.25">
      <c r="A44" s="43"/>
      <c r="B44" s="43"/>
      <c r="C44" s="43"/>
      <c r="D44" s="43"/>
      <c r="E44" s="43"/>
    </row>
    <row r="45" spans="1:6" x14ac:dyDescent="0.25">
      <c r="A45" s="43"/>
      <c r="B45" s="43"/>
      <c r="C45" s="43"/>
      <c r="D45" s="43"/>
      <c r="E45" s="43">
        <v>1</v>
      </c>
    </row>
    <row r="46" spans="1:6" ht="21" x14ac:dyDescent="0.35">
      <c r="A46" s="106" t="s">
        <v>106</v>
      </c>
      <c r="B46" s="43"/>
      <c r="C46" s="106" t="s">
        <v>71</v>
      </c>
      <c r="D46" s="43"/>
      <c r="E46" s="43"/>
    </row>
    <row r="47" spans="1:6" ht="21" x14ac:dyDescent="0.35">
      <c r="A47" s="106"/>
      <c r="B47" s="43"/>
      <c r="C47" s="43"/>
      <c r="D47" s="43"/>
      <c r="E47" s="43"/>
    </row>
    <row r="48" spans="1:6" ht="20.25" customHeight="1" x14ac:dyDescent="0.3">
      <c r="A48" s="36"/>
      <c r="B48" s="36"/>
      <c r="C48" s="116" t="s">
        <v>115</v>
      </c>
      <c r="D48" s="36"/>
      <c r="E48" s="36"/>
      <c r="F48" s="10"/>
    </row>
    <row r="49" spans="1:5" ht="15.75" customHeight="1" x14ac:dyDescent="0.3">
      <c r="A49" s="43"/>
      <c r="B49" s="111"/>
      <c r="C49" s="113" t="s">
        <v>4</v>
      </c>
      <c r="D49" s="43"/>
      <c r="E49" s="43"/>
    </row>
    <row r="50" spans="1:5" ht="16.5" customHeight="1" x14ac:dyDescent="0.25">
      <c r="A50" s="51">
        <v>40100</v>
      </c>
      <c r="B50" s="36" t="s">
        <v>64</v>
      </c>
      <c r="C50" s="64">
        <f>'Revenue Worksheet'!B75</f>
        <v>585821.5</v>
      </c>
      <c r="D50" s="36"/>
      <c r="E50" s="115"/>
    </row>
    <row r="51" spans="1:5" x14ac:dyDescent="0.25">
      <c r="A51" s="42">
        <v>40700</v>
      </c>
      <c r="B51" s="43" t="s">
        <v>69</v>
      </c>
      <c r="C51" s="63">
        <f>'Revenue Worksheet'!C75</f>
        <v>58948.07</v>
      </c>
      <c r="D51" s="43"/>
      <c r="E51" s="43"/>
    </row>
    <row r="52" spans="1:5" x14ac:dyDescent="0.25">
      <c r="A52" s="51">
        <v>45100</v>
      </c>
      <c r="B52" s="36" t="s">
        <v>70</v>
      </c>
      <c r="C52" s="64">
        <f>'Revenue Worksheet'!D75</f>
        <v>5000</v>
      </c>
      <c r="D52" s="36"/>
      <c r="E52" s="36"/>
    </row>
    <row r="53" spans="1:5" x14ac:dyDescent="0.25">
      <c r="A53" s="43"/>
      <c r="B53" s="43"/>
      <c r="C53" s="63"/>
      <c r="D53" s="43"/>
      <c r="E53" s="43"/>
    </row>
    <row r="54" spans="1:5" x14ac:dyDescent="0.25">
      <c r="A54" s="36"/>
      <c r="B54" s="36" t="s">
        <v>67</v>
      </c>
      <c r="C54" s="258">
        <f>SUM(C50:C53)</f>
        <v>649769.56999999995</v>
      </c>
      <c r="D54" s="36"/>
      <c r="E54" s="115"/>
    </row>
    <row r="55" spans="1:5" x14ac:dyDescent="0.25">
      <c r="A55" s="43"/>
      <c r="B55" s="43"/>
      <c r="C55" s="43"/>
      <c r="D55" s="43"/>
      <c r="E55" s="43"/>
    </row>
    <row r="56" spans="1:5" x14ac:dyDescent="0.25">
      <c r="A56" s="43"/>
      <c r="B56" s="43"/>
      <c r="C56" s="43"/>
      <c r="D56" s="43"/>
      <c r="E56" s="43"/>
    </row>
    <row r="57" spans="1:5" x14ac:dyDescent="0.25">
      <c r="A57" s="43"/>
      <c r="B57" s="43"/>
      <c r="C57" s="43"/>
      <c r="D57" s="43"/>
      <c r="E57" s="43"/>
    </row>
    <row r="58" spans="1:5" x14ac:dyDescent="0.25">
      <c r="A58" s="43"/>
      <c r="B58" s="43"/>
      <c r="C58" s="43"/>
      <c r="D58" s="43"/>
      <c r="E58" s="43"/>
    </row>
    <row r="59" spans="1:5" x14ac:dyDescent="0.25">
      <c r="A59" s="43"/>
      <c r="B59" s="43"/>
      <c r="C59" s="43"/>
      <c r="D59" s="43"/>
      <c r="E59" s="43"/>
    </row>
    <row r="60" spans="1:5" x14ac:dyDescent="0.25">
      <c r="A60" s="43"/>
      <c r="B60" s="43"/>
      <c r="C60" s="43"/>
      <c r="D60" s="43"/>
      <c r="E60" s="43"/>
    </row>
    <row r="61" spans="1:5" x14ac:dyDescent="0.25">
      <c r="A61" s="43"/>
      <c r="B61" s="43"/>
      <c r="C61" s="43"/>
      <c r="D61" s="43"/>
      <c r="E61" s="43"/>
    </row>
    <row r="62" spans="1:5" x14ac:dyDescent="0.25">
      <c r="A62" s="43"/>
      <c r="B62" s="43"/>
      <c r="C62" s="43"/>
      <c r="D62" s="43"/>
      <c r="E62" s="43"/>
    </row>
    <row r="63" spans="1:5" x14ac:dyDescent="0.25">
      <c r="A63" s="43"/>
      <c r="B63" s="43"/>
      <c r="C63" s="43"/>
      <c r="D63" s="43"/>
      <c r="E63" s="43"/>
    </row>
    <row r="64" spans="1:5" x14ac:dyDescent="0.25">
      <c r="A64" s="43"/>
      <c r="B64" s="43"/>
      <c r="C64" s="43"/>
      <c r="D64" s="43"/>
      <c r="E64" s="43"/>
    </row>
    <row r="65" spans="1:5" x14ac:dyDescent="0.25">
      <c r="A65" s="43"/>
      <c r="B65" s="43"/>
      <c r="C65" s="43"/>
      <c r="D65" s="43"/>
      <c r="E65" s="43"/>
    </row>
    <row r="66" spans="1:5" x14ac:dyDescent="0.25">
      <c r="A66" s="43"/>
      <c r="B66" s="43"/>
      <c r="C66" s="43"/>
      <c r="D66" s="43"/>
      <c r="E66" s="43"/>
    </row>
    <row r="67" spans="1:5" x14ac:dyDescent="0.25">
      <c r="A67" s="43"/>
      <c r="B67" s="43"/>
      <c r="C67" s="43"/>
      <c r="D67" s="43"/>
      <c r="E67" s="43"/>
    </row>
    <row r="68" spans="1:5" x14ac:dyDescent="0.25">
      <c r="A68" s="43"/>
      <c r="B68" s="43"/>
      <c r="C68" s="43"/>
      <c r="D68" s="43"/>
      <c r="E68" s="43"/>
    </row>
    <row r="69" spans="1:5" x14ac:dyDescent="0.25">
      <c r="A69" s="43"/>
      <c r="B69" s="43"/>
      <c r="C69" s="43"/>
      <c r="D69" s="43"/>
      <c r="E69" s="43"/>
    </row>
    <row r="70" spans="1:5" x14ac:dyDescent="0.25">
      <c r="A70" s="43"/>
      <c r="B70" s="43"/>
      <c r="C70" s="43"/>
      <c r="D70" s="43"/>
      <c r="E70" s="43"/>
    </row>
    <row r="71" spans="1:5" x14ac:dyDescent="0.25">
      <c r="A71" s="43"/>
      <c r="B71" s="43"/>
      <c r="C71" s="43"/>
      <c r="D71" s="43"/>
      <c r="E71" s="43"/>
    </row>
    <row r="72" spans="1:5" x14ac:dyDescent="0.25">
      <c r="A72" s="43"/>
      <c r="B72" s="43"/>
      <c r="C72" s="43"/>
      <c r="D72" s="43"/>
      <c r="E72" s="43"/>
    </row>
    <row r="73" spans="1:5" x14ac:dyDescent="0.25">
      <c r="A73" s="43"/>
      <c r="B73" s="43"/>
      <c r="C73" s="43"/>
      <c r="D73" s="43"/>
      <c r="E73" s="43"/>
    </row>
    <row r="74" spans="1:5" x14ac:dyDescent="0.25">
      <c r="A74" s="43"/>
      <c r="B74" s="43"/>
      <c r="C74" s="43"/>
      <c r="D74" s="43"/>
      <c r="E74" s="43"/>
    </row>
    <row r="75" spans="1:5" x14ac:dyDescent="0.25">
      <c r="A75" s="43"/>
      <c r="B75" s="43"/>
      <c r="C75" s="43"/>
      <c r="D75" s="43"/>
      <c r="E75" s="43"/>
    </row>
    <row r="76" spans="1:5" x14ac:dyDescent="0.25">
      <c r="A76" s="43"/>
      <c r="B76" s="43"/>
      <c r="C76" s="43"/>
      <c r="D76" s="43"/>
      <c r="E76" s="43"/>
    </row>
    <row r="77" spans="1:5" x14ac:dyDescent="0.25">
      <c r="A77" s="43"/>
      <c r="B77" s="43"/>
      <c r="C77" s="43"/>
      <c r="D77" s="43"/>
      <c r="E77" s="43"/>
    </row>
    <row r="78" spans="1:5" x14ac:dyDescent="0.25">
      <c r="A78" s="43"/>
      <c r="B78" s="43"/>
      <c r="C78" s="43"/>
      <c r="D78" s="43"/>
      <c r="E78" s="43"/>
    </row>
    <row r="79" spans="1:5" x14ac:dyDescent="0.25">
      <c r="A79" s="43"/>
      <c r="B79" s="43"/>
      <c r="C79" s="43"/>
      <c r="D79" s="43"/>
      <c r="E79" s="43"/>
    </row>
    <row r="80" spans="1:5" x14ac:dyDescent="0.25">
      <c r="A80" s="43"/>
      <c r="B80" s="43"/>
      <c r="C80" s="43"/>
      <c r="D80" s="43"/>
      <c r="E80" s="43"/>
    </row>
    <row r="81" spans="1:5" x14ac:dyDescent="0.25">
      <c r="A81" s="43"/>
      <c r="B81" s="43"/>
      <c r="C81" s="43"/>
      <c r="D81" s="43"/>
      <c r="E81" s="43"/>
    </row>
    <row r="82" spans="1:5" x14ac:dyDescent="0.25">
      <c r="A82" s="43"/>
      <c r="B82" s="43"/>
      <c r="C82" s="43"/>
      <c r="D82" s="43"/>
      <c r="E82" s="43"/>
    </row>
    <row r="83" spans="1:5" x14ac:dyDescent="0.25">
      <c r="A83" s="43"/>
      <c r="B83" s="43"/>
      <c r="C83" s="43"/>
      <c r="D83" s="43"/>
      <c r="E83" s="43"/>
    </row>
    <row r="84" spans="1:5" x14ac:dyDescent="0.25">
      <c r="A84" s="43"/>
      <c r="B84" s="43"/>
      <c r="C84" s="43"/>
      <c r="D84" s="43"/>
      <c r="E84" s="43"/>
    </row>
    <row r="85" spans="1:5" x14ac:dyDescent="0.25">
      <c r="A85" s="43"/>
      <c r="B85" s="43"/>
      <c r="C85" s="43"/>
      <c r="D85" s="43"/>
      <c r="E85" s="43"/>
    </row>
    <row r="86" spans="1:5" x14ac:dyDescent="0.25">
      <c r="A86" s="43"/>
      <c r="B86" s="43"/>
      <c r="C86" s="43"/>
      <c r="D86" s="43"/>
      <c r="E86" s="43"/>
    </row>
    <row r="87" spans="1:5" x14ac:dyDescent="0.25">
      <c r="A87" s="43"/>
      <c r="B87" s="43"/>
      <c r="C87" s="43"/>
      <c r="D87" s="43"/>
      <c r="E87" s="43"/>
    </row>
    <row r="88" spans="1:5" x14ac:dyDescent="0.25">
      <c r="A88" s="43"/>
      <c r="B88" s="43"/>
      <c r="C88" s="43"/>
      <c r="D88" s="43"/>
      <c r="E88" s="43"/>
    </row>
    <row r="89" spans="1:5" x14ac:dyDescent="0.25">
      <c r="A89" s="43"/>
      <c r="B89" s="43"/>
      <c r="C89" s="43"/>
      <c r="D89" s="43"/>
      <c r="E89" s="43"/>
    </row>
    <row r="90" spans="1:5" x14ac:dyDescent="0.25">
      <c r="A90" s="43"/>
      <c r="B90" s="43"/>
      <c r="C90" s="43"/>
      <c r="D90" s="43"/>
      <c r="E90" s="43">
        <v>2</v>
      </c>
    </row>
    <row r="91" spans="1:5" ht="21" x14ac:dyDescent="0.35">
      <c r="A91" s="106" t="s">
        <v>107</v>
      </c>
      <c r="B91" s="43" t="s">
        <v>116</v>
      </c>
      <c r="C91" s="43"/>
      <c r="D91" s="43"/>
      <c r="E91" s="43"/>
    </row>
    <row r="92" spans="1:5" ht="21" x14ac:dyDescent="0.35">
      <c r="A92" s="106" t="s">
        <v>110</v>
      </c>
      <c r="B92" s="119"/>
      <c r="C92" s="43"/>
      <c r="D92" s="43"/>
      <c r="E92" s="43"/>
    </row>
    <row r="93" spans="1:5" ht="21" x14ac:dyDescent="0.35">
      <c r="A93" s="123"/>
      <c r="B93" s="124"/>
      <c r="C93" s="116" t="s">
        <v>67</v>
      </c>
      <c r="D93" s="36"/>
      <c r="E93" s="36"/>
    </row>
    <row r="94" spans="1:5" x14ac:dyDescent="0.25">
      <c r="A94" s="51">
        <v>40700</v>
      </c>
      <c r="B94" s="36" t="s">
        <v>69</v>
      </c>
      <c r="C94" s="64">
        <f>'Revenue Worksheet'!C98</f>
        <v>168000</v>
      </c>
      <c r="D94" s="36"/>
      <c r="E94" s="36"/>
    </row>
    <row r="95" spans="1:5" x14ac:dyDescent="0.25">
      <c r="A95" s="43"/>
      <c r="B95" s="43" t="s">
        <v>526</v>
      </c>
      <c r="C95" s="63">
        <f>'Revenue Worksheet'!B98</f>
        <v>129000</v>
      </c>
      <c r="D95" s="43"/>
      <c r="E95" s="43"/>
    </row>
    <row r="96" spans="1:5" x14ac:dyDescent="0.25">
      <c r="A96" s="36"/>
      <c r="B96" s="36" t="s">
        <v>67</v>
      </c>
      <c r="C96" s="258">
        <f>SUM(C94:C95)</f>
        <v>297000</v>
      </c>
      <c r="D96" s="36"/>
      <c r="E96" s="36"/>
    </row>
    <row r="97" spans="1:5" x14ac:dyDescent="0.25">
      <c r="A97" s="43"/>
      <c r="B97" s="113"/>
      <c r="C97" s="63"/>
      <c r="D97" s="43"/>
      <c r="E97" s="43"/>
    </row>
    <row r="98" spans="1:5" x14ac:dyDescent="0.25">
      <c r="A98" s="36"/>
      <c r="B98" s="36"/>
      <c r="C98" s="115"/>
      <c r="D98" s="36"/>
      <c r="E98" s="36"/>
    </row>
    <row r="99" spans="1:5" x14ac:dyDescent="0.25">
      <c r="A99" s="36"/>
      <c r="B99" s="36"/>
      <c r="C99" s="115"/>
      <c r="D99" s="36"/>
      <c r="E99" s="36"/>
    </row>
    <row r="100" spans="1:5" x14ac:dyDescent="0.25">
      <c r="A100" s="36"/>
      <c r="B100" s="36"/>
      <c r="C100" s="115"/>
      <c r="D100" s="36"/>
      <c r="E100" s="36"/>
    </row>
    <row r="101" spans="1:5" x14ac:dyDescent="0.25">
      <c r="A101" s="36"/>
      <c r="B101" s="36"/>
      <c r="C101" s="115"/>
      <c r="D101" s="36"/>
      <c r="E101" s="36"/>
    </row>
    <row r="102" spans="1:5" x14ac:dyDescent="0.25">
      <c r="A102" s="36"/>
      <c r="B102" s="36"/>
      <c r="C102" s="115"/>
      <c r="D102" s="36"/>
      <c r="E102" s="36"/>
    </row>
    <row r="103" spans="1:5" x14ac:dyDescent="0.25">
      <c r="A103" s="36"/>
      <c r="B103" s="36"/>
      <c r="C103" s="115"/>
      <c r="D103" s="36"/>
      <c r="E103" s="36"/>
    </row>
    <row r="104" spans="1:5" x14ac:dyDescent="0.25">
      <c r="A104" s="36"/>
      <c r="B104" s="36"/>
      <c r="C104" s="115"/>
      <c r="D104" s="36"/>
      <c r="E104" s="36"/>
    </row>
    <row r="105" spans="1:5" x14ac:dyDescent="0.25">
      <c r="A105" s="36"/>
      <c r="B105" s="36"/>
      <c r="C105" s="115"/>
      <c r="D105" s="36"/>
      <c r="E105" s="36"/>
    </row>
    <row r="106" spans="1:5" x14ac:dyDescent="0.25">
      <c r="A106" s="36"/>
      <c r="B106" s="36"/>
      <c r="C106" s="115"/>
      <c r="D106" s="36"/>
      <c r="E106" s="36"/>
    </row>
    <row r="107" spans="1:5" x14ac:dyDescent="0.25">
      <c r="A107" s="36"/>
      <c r="B107" s="36"/>
      <c r="C107" s="115"/>
      <c r="D107" s="36"/>
      <c r="E107" s="36"/>
    </row>
    <row r="108" spans="1:5" x14ac:dyDescent="0.25">
      <c r="A108" s="36"/>
      <c r="B108" s="36"/>
      <c r="C108" s="115"/>
      <c r="D108" s="36"/>
      <c r="E108" s="36"/>
    </row>
    <row r="109" spans="1:5" x14ac:dyDescent="0.25">
      <c r="A109" s="36"/>
      <c r="B109" s="36"/>
      <c r="C109" s="115"/>
      <c r="D109" s="36"/>
      <c r="E109" s="36"/>
    </row>
    <row r="110" spans="1:5" x14ac:dyDescent="0.25">
      <c r="A110" s="36"/>
      <c r="B110" s="36"/>
      <c r="C110" s="115"/>
      <c r="D110" s="36"/>
      <c r="E110" s="36"/>
    </row>
    <row r="111" spans="1:5" x14ac:dyDescent="0.25">
      <c r="A111" s="36"/>
      <c r="B111" s="36"/>
      <c r="C111" s="115"/>
      <c r="D111" s="36"/>
      <c r="E111" s="36"/>
    </row>
    <row r="112" spans="1:5" x14ac:dyDescent="0.25">
      <c r="A112" s="36"/>
      <c r="B112" s="36"/>
      <c r="C112" s="115"/>
      <c r="D112" s="36"/>
      <c r="E112" s="36"/>
    </row>
    <row r="113" spans="1:5" x14ac:dyDescent="0.25">
      <c r="A113" s="36"/>
      <c r="B113" s="36"/>
      <c r="C113" s="115"/>
      <c r="D113" s="36"/>
      <c r="E113" s="36"/>
    </row>
    <row r="114" spans="1:5" x14ac:dyDescent="0.25">
      <c r="A114" s="36"/>
      <c r="B114" s="36"/>
      <c r="C114" s="115"/>
      <c r="D114" s="36"/>
      <c r="E114" s="36"/>
    </row>
    <row r="115" spans="1:5" x14ac:dyDescent="0.25">
      <c r="A115" s="36"/>
      <c r="B115" s="36"/>
      <c r="C115" s="115"/>
      <c r="D115" s="36"/>
      <c r="E115" s="36"/>
    </row>
    <row r="116" spans="1:5" x14ac:dyDescent="0.25">
      <c r="A116" s="36"/>
      <c r="B116" s="36"/>
      <c r="C116" s="115"/>
      <c r="D116" s="36"/>
      <c r="E116" s="36"/>
    </row>
    <row r="117" spans="1:5" x14ac:dyDescent="0.25">
      <c r="A117" s="36"/>
      <c r="B117" s="36"/>
      <c r="C117" s="115"/>
      <c r="D117" s="36"/>
      <c r="E117" s="36"/>
    </row>
    <row r="118" spans="1:5" x14ac:dyDescent="0.25">
      <c r="A118" s="36"/>
      <c r="B118" s="36"/>
      <c r="C118" s="115"/>
      <c r="D118" s="36"/>
      <c r="E118" s="36"/>
    </row>
    <row r="119" spans="1:5" x14ac:dyDescent="0.25">
      <c r="A119" s="36"/>
      <c r="B119" s="36"/>
      <c r="C119" s="115"/>
      <c r="D119" s="36"/>
      <c r="E119" s="36"/>
    </row>
    <row r="120" spans="1:5" x14ac:dyDescent="0.25">
      <c r="A120" s="36"/>
      <c r="B120" s="36"/>
      <c r="C120" s="115"/>
      <c r="D120" s="36"/>
      <c r="E120" s="36"/>
    </row>
    <row r="121" spans="1:5" x14ac:dyDescent="0.25">
      <c r="A121" s="43"/>
      <c r="B121" s="43"/>
      <c r="C121" s="43"/>
      <c r="D121" s="43"/>
      <c r="E121" s="43"/>
    </row>
    <row r="122" spans="1:5" x14ac:dyDescent="0.25">
      <c r="A122" s="43"/>
      <c r="B122" s="43"/>
      <c r="C122" s="43"/>
      <c r="D122" s="43"/>
      <c r="E122" s="43"/>
    </row>
    <row r="123" spans="1:5" x14ac:dyDescent="0.25">
      <c r="A123" s="43"/>
      <c r="B123" s="43"/>
      <c r="C123" s="43"/>
      <c r="D123" s="43"/>
      <c r="E123" s="43"/>
    </row>
    <row r="124" spans="1:5" x14ac:dyDescent="0.25">
      <c r="A124" s="43"/>
      <c r="B124" s="43"/>
      <c r="C124" s="43"/>
      <c r="D124" s="43"/>
      <c r="E124" s="43"/>
    </row>
    <row r="125" spans="1:5" x14ac:dyDescent="0.25">
      <c r="A125" s="43"/>
      <c r="B125" s="43"/>
      <c r="C125" s="43"/>
      <c r="D125" s="43"/>
      <c r="E125" s="43"/>
    </row>
    <row r="126" spans="1:5" x14ac:dyDescent="0.25">
      <c r="A126" s="43"/>
      <c r="B126" s="43"/>
      <c r="C126" s="43"/>
      <c r="D126" s="43"/>
      <c r="E126" s="43"/>
    </row>
    <row r="127" spans="1:5" x14ac:dyDescent="0.25">
      <c r="A127" s="43"/>
      <c r="B127" s="43"/>
      <c r="C127" s="43"/>
      <c r="D127" s="43"/>
      <c r="E127" s="43"/>
    </row>
    <row r="128" spans="1:5" x14ac:dyDescent="0.25">
      <c r="A128" s="43"/>
      <c r="B128" s="43"/>
      <c r="C128" s="43"/>
      <c r="D128" s="43"/>
      <c r="E128" s="43"/>
    </row>
    <row r="129" spans="1:5" x14ac:dyDescent="0.25">
      <c r="A129" s="43"/>
      <c r="B129" s="43"/>
      <c r="C129" s="43"/>
      <c r="D129" s="43"/>
      <c r="E129" s="43"/>
    </row>
    <row r="130" spans="1:5" x14ac:dyDescent="0.25">
      <c r="A130" s="43"/>
      <c r="B130" s="43"/>
      <c r="C130" s="43"/>
      <c r="D130" s="43"/>
      <c r="E130" s="43"/>
    </row>
    <row r="131" spans="1:5" x14ac:dyDescent="0.25">
      <c r="A131" s="43"/>
      <c r="B131" s="43"/>
      <c r="C131" s="43"/>
      <c r="D131" s="43"/>
      <c r="E131" s="43"/>
    </row>
    <row r="132" spans="1:5" x14ac:dyDescent="0.25">
      <c r="A132" s="43"/>
      <c r="B132" s="43"/>
      <c r="C132" s="43"/>
      <c r="D132" s="43"/>
      <c r="E132" s="43"/>
    </row>
    <row r="133" spans="1:5" x14ac:dyDescent="0.25">
      <c r="A133" s="43"/>
      <c r="B133" s="43"/>
      <c r="C133" s="43"/>
      <c r="D133" s="43"/>
      <c r="E133" s="43"/>
    </row>
    <row r="134" spans="1:5" x14ac:dyDescent="0.25">
      <c r="A134" s="43"/>
      <c r="B134" s="43"/>
      <c r="C134" s="43"/>
      <c r="D134" s="43"/>
      <c r="E134" s="43"/>
    </row>
    <row r="135" spans="1:5" x14ac:dyDescent="0.25">
      <c r="A135" s="43"/>
      <c r="B135" s="43"/>
      <c r="C135" s="43"/>
      <c r="D135" s="43"/>
      <c r="E135" s="43">
        <v>3</v>
      </c>
    </row>
    <row r="136" spans="1:5" ht="21" x14ac:dyDescent="0.35">
      <c r="A136" s="106" t="s">
        <v>107</v>
      </c>
      <c r="B136" s="43" t="s">
        <v>117</v>
      </c>
      <c r="C136" s="43"/>
      <c r="D136" s="43"/>
      <c r="E136" s="43"/>
    </row>
    <row r="137" spans="1:5" ht="21" x14ac:dyDescent="0.35">
      <c r="A137" s="106" t="s">
        <v>110</v>
      </c>
      <c r="B137" s="119"/>
      <c r="C137" s="43"/>
      <c r="D137" s="43"/>
      <c r="E137" s="43"/>
    </row>
    <row r="138" spans="1:5" ht="21" x14ac:dyDescent="0.35">
      <c r="A138" s="123"/>
      <c r="B138" s="124"/>
      <c r="C138" s="116" t="s">
        <v>67</v>
      </c>
      <c r="D138" s="36"/>
      <c r="E138" s="36"/>
    </row>
    <row r="139" spans="1:5" x14ac:dyDescent="0.25">
      <c r="A139" s="42">
        <v>46000</v>
      </c>
      <c r="B139" s="109" t="s">
        <v>610</v>
      </c>
      <c r="C139" s="63">
        <f>'Revenue Worksheet'!B164</f>
        <v>248000</v>
      </c>
      <c r="D139" s="43"/>
      <c r="E139" s="43"/>
    </row>
    <row r="140" spans="1:5" x14ac:dyDescent="0.25">
      <c r="A140" s="36"/>
      <c r="B140" s="36"/>
      <c r="C140" s="64"/>
      <c r="D140" s="36"/>
      <c r="E140" s="36"/>
    </row>
    <row r="141" spans="1:5" x14ac:dyDescent="0.25">
      <c r="A141" s="43"/>
      <c r="B141" s="43" t="s">
        <v>118</v>
      </c>
      <c r="C141" s="258">
        <f>SUM(C139:C140)</f>
        <v>248000</v>
      </c>
      <c r="D141" s="43"/>
      <c r="E141" s="43"/>
    </row>
    <row r="142" spans="1:5" x14ac:dyDescent="0.25">
      <c r="A142" s="36"/>
      <c r="B142" s="36"/>
      <c r="C142" s="64"/>
      <c r="D142" s="36"/>
      <c r="E142" s="36"/>
    </row>
    <row r="143" spans="1:5" x14ac:dyDescent="0.25">
      <c r="A143" s="43"/>
      <c r="B143" s="43"/>
      <c r="C143" s="43"/>
      <c r="D143" s="43"/>
      <c r="E143" s="43"/>
    </row>
    <row r="144" spans="1:5" x14ac:dyDescent="0.25">
      <c r="A144" s="43"/>
      <c r="B144" s="43"/>
      <c r="C144" s="43"/>
      <c r="D144" s="43"/>
      <c r="E144" s="43"/>
    </row>
    <row r="145" spans="1:5" x14ac:dyDescent="0.25">
      <c r="A145" s="43"/>
      <c r="B145" s="43"/>
      <c r="C145" s="43"/>
      <c r="D145" s="43"/>
      <c r="E145" s="43"/>
    </row>
    <row r="146" spans="1:5" x14ac:dyDescent="0.25">
      <c r="A146" s="43"/>
      <c r="B146" s="43"/>
      <c r="C146" s="43"/>
      <c r="D146" s="43"/>
      <c r="E146" s="43"/>
    </row>
    <row r="147" spans="1:5" x14ac:dyDescent="0.25">
      <c r="A147" s="43"/>
      <c r="B147" s="43"/>
      <c r="C147" s="43"/>
      <c r="D147" s="43"/>
      <c r="E147" s="43"/>
    </row>
    <row r="148" spans="1:5" x14ac:dyDescent="0.25">
      <c r="A148" s="43"/>
      <c r="B148" s="43"/>
      <c r="C148" s="43"/>
      <c r="D148" s="43"/>
      <c r="E148" s="43"/>
    </row>
    <row r="149" spans="1:5" x14ac:dyDescent="0.25">
      <c r="A149" s="43"/>
      <c r="B149" s="43"/>
      <c r="C149" s="43"/>
      <c r="D149" s="43"/>
      <c r="E149" s="43"/>
    </row>
    <row r="150" spans="1:5" x14ac:dyDescent="0.25">
      <c r="A150" s="43"/>
      <c r="B150" s="43"/>
      <c r="C150" s="43"/>
      <c r="D150" s="43"/>
      <c r="E150" s="43"/>
    </row>
    <row r="151" spans="1:5" x14ac:dyDescent="0.25">
      <c r="A151" s="43"/>
      <c r="B151" s="43"/>
      <c r="C151" s="43"/>
      <c r="D151" s="43"/>
      <c r="E151" s="43"/>
    </row>
    <row r="152" spans="1:5" x14ac:dyDescent="0.25">
      <c r="A152" s="43"/>
      <c r="B152" s="43"/>
      <c r="C152" s="43"/>
      <c r="D152" s="43"/>
      <c r="E152" s="43"/>
    </row>
    <row r="153" spans="1:5" x14ac:dyDescent="0.25">
      <c r="A153" s="43"/>
      <c r="B153" s="43"/>
      <c r="C153" s="43"/>
      <c r="D153" s="43"/>
      <c r="E153" s="43"/>
    </row>
    <row r="154" spans="1:5" x14ac:dyDescent="0.25">
      <c r="A154" s="43"/>
      <c r="B154" s="43"/>
      <c r="C154" s="43"/>
      <c r="D154" s="43"/>
      <c r="E154" s="43"/>
    </row>
    <row r="155" spans="1:5" x14ac:dyDescent="0.25">
      <c r="A155" s="43"/>
      <c r="B155" s="43"/>
      <c r="C155" s="43"/>
      <c r="D155" s="43"/>
      <c r="E155" s="43"/>
    </row>
    <row r="156" spans="1:5" x14ac:dyDescent="0.25">
      <c r="A156" s="43"/>
      <c r="B156" s="43"/>
      <c r="C156" s="43"/>
      <c r="D156" s="43"/>
      <c r="E156" s="43"/>
    </row>
    <row r="157" spans="1:5" x14ac:dyDescent="0.25">
      <c r="A157" s="43"/>
      <c r="B157" s="43"/>
      <c r="C157" s="43"/>
      <c r="D157" s="43"/>
      <c r="E157" s="43"/>
    </row>
    <row r="158" spans="1:5" x14ac:dyDescent="0.25">
      <c r="A158" s="43"/>
      <c r="B158" s="43"/>
      <c r="C158" s="43"/>
      <c r="D158" s="43"/>
      <c r="E158" s="43"/>
    </row>
    <row r="159" spans="1:5" x14ac:dyDescent="0.25">
      <c r="A159" s="43"/>
      <c r="B159" s="43"/>
      <c r="C159" s="43"/>
      <c r="D159" s="43"/>
      <c r="E159" s="43"/>
    </row>
    <row r="160" spans="1:5" x14ac:dyDescent="0.25">
      <c r="A160" s="43"/>
      <c r="B160" s="43"/>
      <c r="C160" s="43"/>
      <c r="D160" s="43"/>
      <c r="E160" s="43"/>
    </row>
    <row r="161" spans="1:5" x14ac:dyDescent="0.25">
      <c r="A161" s="43"/>
      <c r="B161" s="43"/>
      <c r="C161" s="43"/>
      <c r="D161" s="43"/>
      <c r="E161" s="43"/>
    </row>
    <row r="162" spans="1:5" x14ac:dyDescent="0.25">
      <c r="A162" s="43"/>
      <c r="B162" s="43"/>
      <c r="C162" s="43"/>
      <c r="D162" s="43"/>
      <c r="E162" s="43"/>
    </row>
    <row r="163" spans="1:5" x14ac:dyDescent="0.25">
      <c r="A163" s="43"/>
      <c r="B163" s="43"/>
      <c r="C163" s="43"/>
      <c r="D163" s="43"/>
      <c r="E163" s="43"/>
    </row>
    <row r="164" spans="1:5" x14ac:dyDescent="0.25">
      <c r="A164" s="43"/>
      <c r="B164" s="43"/>
      <c r="C164" s="43"/>
      <c r="D164" s="43"/>
      <c r="E164" s="43"/>
    </row>
    <row r="165" spans="1:5" x14ac:dyDescent="0.25">
      <c r="A165" s="43"/>
      <c r="B165" s="43"/>
      <c r="C165" s="43"/>
      <c r="D165" s="43"/>
      <c r="E165" s="43"/>
    </row>
    <row r="166" spans="1:5" x14ac:dyDescent="0.25">
      <c r="A166" s="43"/>
      <c r="B166" s="43"/>
      <c r="C166" s="43"/>
      <c r="D166" s="43"/>
      <c r="E166" s="43"/>
    </row>
    <row r="167" spans="1:5" x14ac:dyDescent="0.25">
      <c r="A167" s="43"/>
      <c r="B167" s="43"/>
      <c r="C167" s="43"/>
      <c r="D167" s="43"/>
      <c r="E167" s="43"/>
    </row>
    <row r="168" spans="1:5" x14ac:dyDescent="0.25">
      <c r="A168" s="43"/>
      <c r="B168" s="43"/>
      <c r="C168" s="43"/>
      <c r="D168" s="43"/>
      <c r="E168" s="43"/>
    </row>
    <row r="169" spans="1:5" x14ac:dyDescent="0.25">
      <c r="A169" s="43"/>
      <c r="B169" s="43"/>
      <c r="C169" s="43"/>
      <c r="D169" s="43"/>
      <c r="E169" s="43"/>
    </row>
    <row r="170" spans="1:5" x14ac:dyDescent="0.25">
      <c r="A170" s="43"/>
      <c r="B170" s="43"/>
      <c r="C170" s="43"/>
      <c r="D170" s="43"/>
      <c r="E170" s="43"/>
    </row>
    <row r="171" spans="1:5" x14ac:dyDescent="0.25">
      <c r="A171" s="43"/>
      <c r="B171" s="43"/>
      <c r="C171" s="43"/>
      <c r="D171" s="43"/>
      <c r="E171" s="43"/>
    </row>
    <row r="172" spans="1:5" x14ac:dyDescent="0.25">
      <c r="A172" s="43"/>
      <c r="B172" s="43"/>
      <c r="C172" s="43"/>
      <c r="D172" s="43"/>
      <c r="E172" s="43"/>
    </row>
    <row r="173" spans="1:5" x14ac:dyDescent="0.25">
      <c r="A173" s="43"/>
      <c r="B173" s="43"/>
      <c r="C173" s="43"/>
      <c r="D173" s="43"/>
      <c r="E173" s="43"/>
    </row>
    <row r="174" spans="1:5" x14ac:dyDescent="0.25">
      <c r="A174" s="43"/>
      <c r="B174" s="43"/>
      <c r="C174" s="43"/>
      <c r="D174" s="43"/>
      <c r="E174" s="43"/>
    </row>
    <row r="175" spans="1:5" x14ac:dyDescent="0.25">
      <c r="A175" s="43"/>
      <c r="B175" s="43"/>
      <c r="C175" s="43"/>
      <c r="D175" s="43"/>
      <c r="E175" s="43"/>
    </row>
    <row r="176" spans="1:5" x14ac:dyDescent="0.25">
      <c r="A176" s="43"/>
      <c r="B176" s="43"/>
      <c r="C176" s="43"/>
      <c r="D176" s="43"/>
      <c r="E176" s="43"/>
    </row>
    <row r="177" spans="1:6" x14ac:dyDescent="0.25">
      <c r="A177" s="43"/>
      <c r="B177" s="43"/>
      <c r="C177" s="43"/>
      <c r="D177" s="43"/>
      <c r="E177" s="43"/>
    </row>
    <row r="178" spans="1:6" x14ac:dyDescent="0.25">
      <c r="A178" s="43"/>
      <c r="B178" s="43"/>
      <c r="C178" s="43"/>
      <c r="D178" s="43"/>
      <c r="E178" s="43"/>
    </row>
    <row r="179" spans="1:6" x14ac:dyDescent="0.25">
      <c r="A179" s="43"/>
      <c r="B179" s="43"/>
      <c r="C179" s="43"/>
      <c r="D179" s="43"/>
      <c r="E179" s="43"/>
    </row>
    <row r="180" spans="1:6" x14ac:dyDescent="0.25">
      <c r="A180" s="43"/>
      <c r="B180" s="43"/>
      <c r="C180" s="43"/>
      <c r="D180" s="43"/>
      <c r="E180" s="43"/>
    </row>
    <row r="181" spans="1:6" x14ac:dyDescent="0.25">
      <c r="A181" s="43"/>
      <c r="B181" s="43"/>
      <c r="C181" s="43"/>
      <c r="D181" s="43"/>
      <c r="E181" s="43">
        <v>4</v>
      </c>
    </row>
    <row r="182" spans="1:6" x14ac:dyDescent="0.25">
      <c r="A182" s="43"/>
      <c r="B182" s="43"/>
      <c r="C182" s="43"/>
      <c r="D182" s="43"/>
      <c r="E182" s="43"/>
    </row>
    <row r="183" spans="1:6" ht="21" x14ac:dyDescent="0.35">
      <c r="A183" s="106" t="s">
        <v>108</v>
      </c>
      <c r="B183" s="43" t="s">
        <v>111</v>
      </c>
      <c r="C183" s="110" t="s">
        <v>66</v>
      </c>
      <c r="D183" s="43"/>
      <c r="E183" s="43"/>
    </row>
    <row r="184" spans="1:6" x14ac:dyDescent="0.25">
      <c r="A184" s="43"/>
      <c r="B184" s="43"/>
      <c r="C184" s="43"/>
      <c r="D184" s="43"/>
      <c r="E184" s="43"/>
    </row>
    <row r="185" spans="1:6" ht="20.25" customHeight="1" x14ac:dyDescent="0.3">
      <c r="A185" s="36"/>
      <c r="B185" s="36"/>
      <c r="C185" s="120" t="s">
        <v>67</v>
      </c>
      <c r="D185" s="36"/>
      <c r="E185" s="116"/>
      <c r="F185" s="10"/>
    </row>
    <row r="186" spans="1:6" ht="20.25" customHeight="1" x14ac:dyDescent="0.3">
      <c r="A186" s="43"/>
      <c r="B186" s="43"/>
      <c r="C186" s="79"/>
      <c r="D186" s="43"/>
      <c r="E186" s="79"/>
      <c r="F186" s="10"/>
    </row>
    <row r="187" spans="1:6" ht="15.75" customHeight="1" x14ac:dyDescent="0.3">
      <c r="A187" s="36"/>
      <c r="B187" s="120"/>
      <c r="C187" s="121" t="s">
        <v>4</v>
      </c>
      <c r="D187" s="36"/>
      <c r="E187" s="121"/>
    </row>
    <row r="188" spans="1:6" x14ac:dyDescent="0.25">
      <c r="A188" s="43"/>
      <c r="B188" s="43"/>
      <c r="C188" s="466">
        <v>0</v>
      </c>
      <c r="D188" s="43"/>
      <c r="E188" s="43"/>
    </row>
    <row r="189" spans="1:6" x14ac:dyDescent="0.25">
      <c r="A189" s="36"/>
      <c r="B189" s="36"/>
      <c r="C189" s="36"/>
      <c r="D189" s="36"/>
      <c r="E189" s="36"/>
    </row>
    <row r="190" spans="1:6" ht="21" x14ac:dyDescent="0.35">
      <c r="A190" s="106" t="s">
        <v>108</v>
      </c>
      <c r="B190" s="43" t="s">
        <v>111</v>
      </c>
      <c r="C190" s="110"/>
      <c r="D190" s="43"/>
      <c r="E190" s="43"/>
    </row>
    <row r="191" spans="1:6" x14ac:dyDescent="0.25">
      <c r="A191" s="43"/>
      <c r="B191" s="43"/>
      <c r="C191" s="43"/>
      <c r="D191" s="43"/>
      <c r="E191" s="43"/>
    </row>
    <row r="192" spans="1:6" ht="20.25" customHeight="1" x14ac:dyDescent="0.3">
      <c r="A192" s="43"/>
      <c r="B192" s="43"/>
      <c r="C192" s="111"/>
      <c r="D192" s="43"/>
      <c r="E192" s="79"/>
      <c r="F192" s="10"/>
    </row>
    <row r="193" spans="1:6" ht="20.25" customHeight="1" x14ac:dyDescent="0.3">
      <c r="A193" s="43"/>
      <c r="B193" s="43"/>
      <c r="C193" s="79"/>
      <c r="D193" s="43"/>
      <c r="E193" s="79"/>
      <c r="F193" s="10"/>
    </row>
    <row r="194" spans="1:6" ht="15.75" customHeight="1" x14ac:dyDescent="0.3">
      <c r="A194" s="43"/>
      <c r="B194" s="111"/>
      <c r="C194" s="113"/>
      <c r="D194" s="43"/>
      <c r="E194" s="113"/>
    </row>
    <row r="195" spans="1:6" x14ac:dyDescent="0.25">
      <c r="A195" s="43"/>
      <c r="B195" s="43"/>
      <c r="C195" s="108"/>
      <c r="D195" s="43"/>
      <c r="E195" s="43"/>
    </row>
    <row r="196" spans="1:6" x14ac:dyDescent="0.25">
      <c r="A196" s="43"/>
      <c r="B196" s="43"/>
      <c r="C196" s="43"/>
      <c r="D196" s="43"/>
      <c r="E196" s="43"/>
    </row>
    <row r="197" spans="1:6" x14ac:dyDescent="0.25">
      <c r="A197" s="43"/>
      <c r="B197" s="43"/>
      <c r="C197" s="43"/>
      <c r="D197" s="43"/>
      <c r="E197" s="43"/>
    </row>
    <row r="198" spans="1:6" x14ac:dyDescent="0.25">
      <c r="A198" s="43"/>
      <c r="B198" s="43"/>
      <c r="C198" s="43"/>
      <c r="D198" s="43"/>
      <c r="E198" s="43"/>
    </row>
    <row r="199" spans="1:6" x14ac:dyDescent="0.25">
      <c r="A199" s="43"/>
      <c r="B199" s="43"/>
      <c r="C199" s="43"/>
      <c r="D199" s="43"/>
      <c r="E199" s="43"/>
    </row>
    <row r="200" spans="1:6" x14ac:dyDescent="0.25">
      <c r="A200" s="43"/>
      <c r="B200" s="43"/>
      <c r="C200" s="43"/>
      <c r="D200" s="43"/>
      <c r="E200" s="43"/>
    </row>
    <row r="201" spans="1:6" x14ac:dyDescent="0.25">
      <c r="A201" s="43"/>
      <c r="B201" s="43"/>
      <c r="C201" s="43"/>
      <c r="D201" s="43"/>
      <c r="E201" s="43"/>
    </row>
    <row r="202" spans="1:6" x14ac:dyDescent="0.25">
      <c r="A202" s="43"/>
      <c r="B202" s="43"/>
      <c r="C202" s="43"/>
      <c r="D202" s="43"/>
      <c r="E202" s="43"/>
    </row>
    <row r="203" spans="1:6" x14ac:dyDescent="0.25">
      <c r="A203" s="43"/>
      <c r="B203" s="43"/>
      <c r="C203" s="43"/>
      <c r="D203" s="43"/>
      <c r="E203" s="43"/>
    </row>
    <row r="204" spans="1:6" x14ac:dyDescent="0.25">
      <c r="A204" s="43"/>
      <c r="B204" s="43"/>
      <c r="C204" s="43"/>
      <c r="D204" s="43"/>
      <c r="E204" s="43"/>
    </row>
    <row r="205" spans="1:6" x14ac:dyDescent="0.25">
      <c r="A205" s="43"/>
      <c r="B205" s="43"/>
      <c r="C205" s="43"/>
      <c r="D205" s="43"/>
      <c r="E205" s="43"/>
    </row>
    <row r="206" spans="1:6" x14ac:dyDescent="0.25">
      <c r="A206" s="43"/>
      <c r="B206" s="43"/>
      <c r="C206" s="43"/>
      <c r="D206" s="43"/>
      <c r="E206" s="43"/>
    </row>
    <row r="207" spans="1:6" x14ac:dyDescent="0.25">
      <c r="A207" s="43"/>
      <c r="B207" s="43"/>
      <c r="C207" s="43"/>
      <c r="D207" s="43"/>
      <c r="E207" s="43"/>
    </row>
    <row r="208" spans="1:6" x14ac:dyDescent="0.25">
      <c r="A208" s="43"/>
      <c r="B208" s="43"/>
      <c r="C208" s="43"/>
      <c r="D208" s="43"/>
      <c r="E208" s="43"/>
    </row>
    <row r="209" spans="1:5" x14ac:dyDescent="0.25">
      <c r="A209" s="43"/>
      <c r="B209" s="43"/>
      <c r="C209" s="43"/>
      <c r="D209" s="43"/>
      <c r="E209" s="43"/>
    </row>
    <row r="210" spans="1:5" x14ac:dyDescent="0.25">
      <c r="A210" s="43"/>
      <c r="B210" s="43"/>
      <c r="C210" s="43"/>
      <c r="D210" s="43"/>
      <c r="E210" s="43"/>
    </row>
    <row r="211" spans="1:5" x14ac:dyDescent="0.25">
      <c r="A211" s="43"/>
      <c r="B211" s="43"/>
      <c r="C211" s="43"/>
      <c r="D211" s="43"/>
      <c r="E211" s="43"/>
    </row>
    <row r="212" spans="1:5" x14ac:dyDescent="0.25">
      <c r="A212" s="43"/>
      <c r="B212" s="43"/>
      <c r="C212" s="43"/>
      <c r="D212" s="43"/>
      <c r="E212" s="43"/>
    </row>
    <row r="213" spans="1:5" x14ac:dyDescent="0.25">
      <c r="A213" s="43"/>
      <c r="B213" s="43"/>
      <c r="C213" s="43"/>
      <c r="D213" s="43"/>
      <c r="E213" s="43"/>
    </row>
    <row r="214" spans="1:5" x14ac:dyDescent="0.25">
      <c r="A214" s="43"/>
      <c r="B214" s="43"/>
      <c r="C214" s="43"/>
      <c r="D214" s="43"/>
      <c r="E214" s="43"/>
    </row>
    <row r="215" spans="1:5" x14ac:dyDescent="0.25">
      <c r="A215" s="43"/>
      <c r="B215" s="43"/>
      <c r="C215" s="43"/>
      <c r="D215" s="43"/>
      <c r="E215" s="43"/>
    </row>
    <row r="216" spans="1:5" x14ac:dyDescent="0.25">
      <c r="A216" s="43"/>
      <c r="B216" s="43"/>
      <c r="C216" s="43"/>
      <c r="D216" s="43"/>
      <c r="E216" s="43"/>
    </row>
    <row r="217" spans="1:5" x14ac:dyDescent="0.25">
      <c r="A217" s="43"/>
      <c r="B217" s="43"/>
      <c r="C217" s="43"/>
      <c r="D217" s="43"/>
      <c r="E217" s="43"/>
    </row>
    <row r="218" spans="1:5" x14ac:dyDescent="0.25">
      <c r="A218" s="43"/>
      <c r="B218" s="43"/>
      <c r="C218" s="43"/>
      <c r="D218" s="43"/>
      <c r="E218" s="43"/>
    </row>
    <row r="219" spans="1:5" x14ac:dyDescent="0.25">
      <c r="A219" s="43"/>
      <c r="B219" s="43"/>
      <c r="C219" s="43"/>
      <c r="D219" s="43"/>
      <c r="E219" s="43"/>
    </row>
    <row r="220" spans="1:5" x14ac:dyDescent="0.25">
      <c r="A220" s="43"/>
      <c r="B220" s="43"/>
      <c r="C220" s="43"/>
      <c r="D220" s="43"/>
      <c r="E220" s="43"/>
    </row>
    <row r="221" spans="1:5" x14ac:dyDescent="0.25">
      <c r="A221" s="43"/>
      <c r="B221" s="43"/>
      <c r="C221" s="43"/>
      <c r="D221" s="43"/>
      <c r="E221" s="43"/>
    </row>
    <row r="222" spans="1:5" x14ac:dyDescent="0.25">
      <c r="A222" s="43"/>
      <c r="B222" s="43"/>
      <c r="C222" s="43"/>
      <c r="D222" s="43"/>
      <c r="E222" s="43"/>
    </row>
    <row r="223" spans="1:5" x14ac:dyDescent="0.25">
      <c r="A223" s="43"/>
      <c r="B223" s="43"/>
      <c r="C223" s="43"/>
      <c r="D223" s="43"/>
      <c r="E223" s="43"/>
    </row>
    <row r="224" spans="1:5" x14ac:dyDescent="0.25">
      <c r="A224" s="43"/>
      <c r="B224" s="43"/>
      <c r="C224" s="43"/>
      <c r="D224" s="43"/>
      <c r="E224" s="43"/>
    </row>
    <row r="225" spans="1:5" x14ac:dyDescent="0.25">
      <c r="A225" s="43"/>
      <c r="B225" s="43"/>
      <c r="C225" s="43"/>
      <c r="D225" s="43"/>
      <c r="E225" s="43">
        <v>5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88"/>
  <sheetViews>
    <sheetView workbookViewId="0">
      <selection activeCell="B2" sqref="B2:B28"/>
    </sheetView>
  </sheetViews>
  <sheetFormatPr defaultRowHeight="15" x14ac:dyDescent="0.25"/>
  <cols>
    <col min="1" max="1" width="15.42578125" customWidth="1"/>
    <col min="2" max="2" width="13.7109375" customWidth="1"/>
    <col min="3" max="3" width="19" customWidth="1"/>
    <col min="4" max="4" width="14" customWidth="1"/>
    <col min="5" max="5" width="14.42578125" customWidth="1"/>
    <col min="7" max="7" width="14.7109375" customWidth="1"/>
  </cols>
  <sheetData>
    <row r="1" spans="1:10" ht="23.25" x14ac:dyDescent="0.35">
      <c r="C1" s="267"/>
      <c r="D1" t="s">
        <v>360</v>
      </c>
    </row>
    <row r="2" spans="1:10" ht="18.75" x14ac:dyDescent="0.3">
      <c r="A2" s="263" t="s">
        <v>328</v>
      </c>
      <c r="C2" s="267"/>
    </row>
    <row r="3" spans="1:10" ht="15.75" x14ac:dyDescent="0.25">
      <c r="A3" s="36" t="s">
        <v>359</v>
      </c>
      <c r="B3" s="36"/>
      <c r="C3" s="285"/>
      <c r="D3" s="60" t="s">
        <v>330</v>
      </c>
      <c r="E3" s="36" t="s">
        <v>331</v>
      </c>
      <c r="F3" s="36" t="s">
        <v>302</v>
      </c>
      <c r="G3" s="36"/>
      <c r="H3" s="36"/>
      <c r="I3" s="36"/>
      <c r="J3" s="36"/>
    </row>
    <row r="4" spans="1:10" x14ac:dyDescent="0.25">
      <c r="A4" s="43">
        <v>1</v>
      </c>
      <c r="B4" s="276">
        <v>44377</v>
      </c>
      <c r="C4" s="43"/>
      <c r="D4" s="43"/>
      <c r="E4" s="114">
        <f>E88</f>
        <v>2330000</v>
      </c>
      <c r="F4" s="43" t="s">
        <v>194</v>
      </c>
      <c r="G4" s="107">
        <f>E4/25</f>
        <v>93200</v>
      </c>
      <c r="H4" s="107"/>
      <c r="I4" s="43"/>
      <c r="J4" s="43"/>
    </row>
    <row r="5" spans="1:10" x14ac:dyDescent="0.25">
      <c r="A5" s="43">
        <v>2</v>
      </c>
      <c r="B5" s="276">
        <v>44742</v>
      </c>
      <c r="C5" s="43"/>
      <c r="D5" s="43"/>
      <c r="E5" s="107"/>
      <c r="F5" s="43" t="s">
        <v>303</v>
      </c>
      <c r="G5" s="107">
        <f>G4*0.03 + G4</f>
        <v>95996</v>
      </c>
      <c r="H5" s="43"/>
      <c r="I5" s="43"/>
      <c r="J5" s="43"/>
    </row>
    <row r="6" spans="1:10" x14ac:dyDescent="0.25">
      <c r="A6" s="43">
        <v>3</v>
      </c>
      <c r="B6" s="276">
        <v>45107</v>
      </c>
      <c r="C6" s="43"/>
      <c r="D6" s="43"/>
      <c r="E6" s="107"/>
      <c r="F6" s="43" t="s">
        <v>304</v>
      </c>
      <c r="G6" s="107">
        <f t="shared" ref="G6:G28" si="0">G5*0.03+G5</f>
        <v>98875.88</v>
      </c>
      <c r="H6" s="129"/>
      <c r="I6" s="43"/>
      <c r="J6" s="43"/>
    </row>
    <row r="7" spans="1:10" x14ac:dyDescent="0.25">
      <c r="A7" s="43">
        <v>4</v>
      </c>
      <c r="B7" s="276">
        <v>45473</v>
      </c>
      <c r="C7" s="43"/>
      <c r="D7" s="43"/>
      <c r="E7" s="107"/>
      <c r="F7" s="43" t="s">
        <v>305</v>
      </c>
      <c r="G7" s="107">
        <f t="shared" si="0"/>
        <v>101842.15640000001</v>
      </c>
      <c r="H7" s="43"/>
      <c r="I7" s="43"/>
      <c r="J7" s="43"/>
    </row>
    <row r="8" spans="1:10" x14ac:dyDescent="0.25">
      <c r="A8" s="43">
        <v>5</v>
      </c>
      <c r="B8" s="276">
        <v>45838</v>
      </c>
      <c r="C8" s="43"/>
      <c r="D8" s="43"/>
      <c r="E8" s="107"/>
      <c r="F8" s="43" t="s">
        <v>306</v>
      </c>
      <c r="G8" s="107">
        <f t="shared" si="0"/>
        <v>104897.421092</v>
      </c>
      <c r="H8" s="43"/>
      <c r="I8" s="43"/>
      <c r="J8" s="43"/>
    </row>
    <row r="9" spans="1:10" x14ac:dyDescent="0.25">
      <c r="A9" s="43">
        <v>6</v>
      </c>
      <c r="B9" s="276">
        <v>46203</v>
      </c>
      <c r="C9" s="43"/>
      <c r="D9" s="43"/>
      <c r="E9" s="107"/>
      <c r="F9" s="43" t="s">
        <v>307</v>
      </c>
      <c r="G9" s="107">
        <f t="shared" si="0"/>
        <v>108044.34372476001</v>
      </c>
      <c r="H9" s="107"/>
      <c r="I9" s="43"/>
      <c r="J9" s="43"/>
    </row>
    <row r="10" spans="1:10" x14ac:dyDescent="0.25">
      <c r="A10" s="43">
        <v>7</v>
      </c>
      <c r="B10" s="276">
        <v>46568</v>
      </c>
      <c r="C10" s="43"/>
      <c r="D10" s="43"/>
      <c r="E10" s="107"/>
      <c r="F10" s="43" t="s">
        <v>308</v>
      </c>
      <c r="G10" s="107">
        <f t="shared" si="0"/>
        <v>111285.67403650281</v>
      </c>
      <c r="H10" s="43"/>
      <c r="I10" s="43"/>
      <c r="J10" s="43"/>
    </row>
    <row r="11" spans="1:10" x14ac:dyDescent="0.25">
      <c r="A11" s="43">
        <v>8</v>
      </c>
      <c r="B11" s="276">
        <v>46934</v>
      </c>
      <c r="C11" s="43"/>
      <c r="D11" s="43"/>
      <c r="E11" s="107"/>
      <c r="F11" s="43" t="s">
        <v>309</v>
      </c>
      <c r="G11" s="107">
        <f t="shared" si="0"/>
        <v>114624.24425759789</v>
      </c>
      <c r="H11" s="43"/>
      <c r="I11" s="43"/>
      <c r="J11" s="43"/>
    </row>
    <row r="12" spans="1:10" x14ac:dyDescent="0.25">
      <c r="A12" s="43">
        <v>9</v>
      </c>
      <c r="B12" s="276">
        <v>47299</v>
      </c>
      <c r="C12" s="43"/>
      <c r="D12" s="43"/>
      <c r="E12" s="107"/>
      <c r="F12" s="43" t="s">
        <v>310</v>
      </c>
      <c r="G12" s="107">
        <f t="shared" si="0"/>
        <v>118062.97158532582</v>
      </c>
      <c r="H12" s="43"/>
      <c r="I12" s="43"/>
      <c r="J12" s="43"/>
    </row>
    <row r="13" spans="1:10" x14ac:dyDescent="0.25">
      <c r="A13" s="43">
        <v>10</v>
      </c>
      <c r="B13" s="276">
        <v>47664</v>
      </c>
      <c r="C13" s="43"/>
      <c r="D13" s="43"/>
      <c r="E13" s="107"/>
      <c r="F13" s="43" t="s">
        <v>311</v>
      </c>
      <c r="G13" s="107">
        <f t="shared" si="0"/>
        <v>121604.8607328856</v>
      </c>
      <c r="H13" s="43"/>
      <c r="I13" s="43"/>
      <c r="J13" s="43"/>
    </row>
    <row r="14" spans="1:10" x14ac:dyDescent="0.25">
      <c r="A14" s="43">
        <v>11</v>
      </c>
      <c r="B14" s="276">
        <v>48029</v>
      </c>
      <c r="C14" s="43"/>
      <c r="D14" s="43"/>
      <c r="E14" s="107"/>
      <c r="F14" s="43" t="s">
        <v>312</v>
      </c>
      <c r="G14" s="107">
        <f t="shared" si="0"/>
        <v>125253.00655487218</v>
      </c>
      <c r="H14" s="43"/>
      <c r="I14" s="43"/>
      <c r="J14" s="43"/>
    </row>
    <row r="15" spans="1:10" x14ac:dyDescent="0.25">
      <c r="A15" s="43">
        <v>12</v>
      </c>
      <c r="B15" s="276">
        <v>48395</v>
      </c>
      <c r="C15" s="43"/>
      <c r="D15" s="43"/>
      <c r="E15" s="107"/>
      <c r="F15" s="43" t="s">
        <v>313</v>
      </c>
      <c r="G15" s="107">
        <f t="shared" si="0"/>
        <v>129010.59675151834</v>
      </c>
      <c r="H15" s="43"/>
      <c r="I15" s="43"/>
      <c r="J15" s="43"/>
    </row>
    <row r="16" spans="1:10" x14ac:dyDescent="0.25">
      <c r="A16" s="43">
        <v>13</v>
      </c>
      <c r="B16" s="276">
        <v>48760</v>
      </c>
      <c r="C16" s="43"/>
      <c r="D16" s="43"/>
      <c r="E16" s="107"/>
      <c r="F16" s="43" t="s">
        <v>314</v>
      </c>
      <c r="G16" s="107">
        <f t="shared" si="0"/>
        <v>132880.9146540639</v>
      </c>
      <c r="H16" s="43"/>
      <c r="I16" s="43"/>
      <c r="J16" s="43"/>
    </row>
    <row r="17" spans="1:10" x14ac:dyDescent="0.25">
      <c r="A17" s="43">
        <v>14</v>
      </c>
      <c r="B17" s="276">
        <v>49125</v>
      </c>
      <c r="C17" s="43"/>
      <c r="D17" s="43"/>
      <c r="E17" s="107"/>
      <c r="F17" s="43" t="s">
        <v>315</v>
      </c>
      <c r="G17" s="107">
        <f t="shared" si="0"/>
        <v>136867.34209368582</v>
      </c>
      <c r="H17" s="43"/>
      <c r="I17" s="43"/>
      <c r="J17" s="43"/>
    </row>
    <row r="18" spans="1:10" x14ac:dyDescent="0.25">
      <c r="A18" s="43">
        <v>15</v>
      </c>
      <c r="B18" s="276">
        <v>49490</v>
      </c>
      <c r="C18" s="43"/>
      <c r="D18" s="43"/>
      <c r="E18" s="107"/>
      <c r="F18" s="43" t="s">
        <v>316</v>
      </c>
      <c r="G18" s="107">
        <f t="shared" si="0"/>
        <v>140973.36235649639</v>
      </c>
      <c r="H18" s="43"/>
      <c r="I18" s="43"/>
      <c r="J18" s="43"/>
    </row>
    <row r="19" spans="1:10" x14ac:dyDescent="0.25">
      <c r="A19" s="43">
        <v>16</v>
      </c>
      <c r="B19" s="276">
        <v>49856</v>
      </c>
      <c r="C19" s="43"/>
      <c r="D19" s="43"/>
      <c r="E19" s="107"/>
      <c r="F19" s="43" t="s">
        <v>317</v>
      </c>
      <c r="G19" s="107">
        <f t="shared" si="0"/>
        <v>145202.56322719128</v>
      </c>
      <c r="H19" s="43"/>
      <c r="I19" s="43"/>
      <c r="J19" s="43"/>
    </row>
    <row r="20" spans="1:10" x14ac:dyDescent="0.25">
      <c r="A20" s="43">
        <v>17</v>
      </c>
      <c r="B20" s="276">
        <v>50221</v>
      </c>
      <c r="C20" s="43"/>
      <c r="D20" s="43"/>
      <c r="E20" s="107"/>
      <c r="F20" s="43" t="s">
        <v>318</v>
      </c>
      <c r="G20" s="107">
        <f t="shared" si="0"/>
        <v>149558.64012400701</v>
      </c>
      <c r="H20" s="43"/>
      <c r="I20" s="43"/>
      <c r="J20" s="43"/>
    </row>
    <row r="21" spans="1:10" x14ac:dyDescent="0.25">
      <c r="A21" s="43">
        <v>18</v>
      </c>
      <c r="B21" s="276">
        <v>50586</v>
      </c>
      <c r="C21" s="43"/>
      <c r="D21" s="43"/>
      <c r="E21" s="107"/>
      <c r="F21" s="43" t="s">
        <v>319</v>
      </c>
      <c r="G21" s="107">
        <f t="shared" si="0"/>
        <v>154045.39932772721</v>
      </c>
      <c r="H21" s="43"/>
      <c r="I21" s="43"/>
      <c r="J21" s="43"/>
    </row>
    <row r="22" spans="1:10" x14ac:dyDescent="0.25">
      <c r="A22" s="43">
        <v>19</v>
      </c>
      <c r="B22" s="276">
        <v>50951</v>
      </c>
      <c r="C22" s="43"/>
      <c r="D22" s="43"/>
      <c r="E22" s="107"/>
      <c r="F22" s="43" t="s">
        <v>320</v>
      </c>
      <c r="G22" s="107">
        <f t="shared" si="0"/>
        <v>158666.76130755903</v>
      </c>
      <c r="H22" s="43"/>
      <c r="I22" s="43"/>
      <c r="J22" s="43"/>
    </row>
    <row r="23" spans="1:10" x14ac:dyDescent="0.25">
      <c r="A23" s="43">
        <v>20</v>
      </c>
      <c r="B23" s="276">
        <v>51317</v>
      </c>
      <c r="C23" s="43"/>
      <c r="D23" s="43"/>
      <c r="E23" s="107"/>
      <c r="F23" s="43" t="s">
        <v>321</v>
      </c>
      <c r="G23" s="107">
        <f t="shared" si="0"/>
        <v>163426.7641467858</v>
      </c>
      <c r="H23" s="43"/>
      <c r="I23" s="43"/>
      <c r="J23" s="43"/>
    </row>
    <row r="24" spans="1:10" x14ac:dyDescent="0.25">
      <c r="A24" s="43">
        <v>21</v>
      </c>
      <c r="B24" s="276">
        <v>51682</v>
      </c>
      <c r="C24" s="43"/>
      <c r="D24" s="43"/>
      <c r="E24" s="107"/>
      <c r="F24" s="43" t="s">
        <v>322</v>
      </c>
      <c r="G24" s="107">
        <f t="shared" si="0"/>
        <v>168329.56707118938</v>
      </c>
      <c r="H24" s="43"/>
      <c r="I24" s="43"/>
      <c r="J24" s="43"/>
    </row>
    <row r="25" spans="1:10" x14ac:dyDescent="0.25">
      <c r="A25" s="43">
        <v>22</v>
      </c>
      <c r="B25" s="276">
        <v>52047</v>
      </c>
      <c r="C25" s="43"/>
      <c r="D25" s="43"/>
      <c r="E25" s="107"/>
      <c r="F25" s="43" t="s">
        <v>323</v>
      </c>
      <c r="G25" s="107">
        <f t="shared" si="0"/>
        <v>173379.45408332505</v>
      </c>
      <c r="H25" s="43"/>
      <c r="I25" s="43"/>
      <c r="J25" s="43"/>
    </row>
    <row r="26" spans="1:10" x14ac:dyDescent="0.25">
      <c r="A26" s="43">
        <v>23</v>
      </c>
      <c r="B26" s="276">
        <v>52412</v>
      </c>
      <c r="C26" s="43"/>
      <c r="D26" s="43"/>
      <c r="E26" s="107"/>
      <c r="F26" s="43" t="s">
        <v>324</v>
      </c>
      <c r="G26" s="107">
        <f t="shared" si="0"/>
        <v>178580.83770582482</v>
      </c>
      <c r="H26" s="43"/>
      <c r="I26" s="43"/>
      <c r="J26" s="43"/>
    </row>
    <row r="27" spans="1:10" ht="15" customHeight="1" x14ac:dyDescent="0.25">
      <c r="A27" s="43">
        <v>24</v>
      </c>
      <c r="B27" s="276">
        <v>52778</v>
      </c>
      <c r="C27" s="43"/>
      <c r="D27" s="43"/>
      <c r="E27" s="107"/>
      <c r="F27" s="43" t="s">
        <v>325</v>
      </c>
      <c r="G27" s="107">
        <f t="shared" si="0"/>
        <v>183938.26283699955</v>
      </c>
      <c r="H27" s="43"/>
      <c r="I27" s="43"/>
      <c r="J27" s="43"/>
    </row>
    <row r="28" spans="1:10" x14ac:dyDescent="0.25">
      <c r="A28" s="43">
        <v>25</v>
      </c>
      <c r="B28" s="276">
        <v>53143</v>
      </c>
      <c r="C28" s="43"/>
      <c r="D28" s="43"/>
      <c r="E28" s="107"/>
      <c r="F28" s="43" t="s">
        <v>326</v>
      </c>
      <c r="G28" s="107">
        <f t="shared" si="0"/>
        <v>189456.41072210955</v>
      </c>
      <c r="H28" s="43"/>
      <c r="I28" s="43"/>
      <c r="J28" s="43"/>
    </row>
    <row r="29" spans="1:10" x14ac:dyDescent="0.25">
      <c r="B29" s="278"/>
      <c r="E29" s="2"/>
      <c r="G29" s="2"/>
    </row>
    <row r="30" spans="1:10" x14ac:dyDescent="0.25">
      <c r="B30" s="278"/>
      <c r="E30" s="2"/>
      <c r="G30" s="2"/>
    </row>
    <row r="31" spans="1:10" x14ac:dyDescent="0.25">
      <c r="B31" s="278"/>
      <c r="E31" s="2"/>
      <c r="G31" s="2"/>
    </row>
    <row r="32" spans="1:10" x14ac:dyDescent="0.25">
      <c r="B32" s="278"/>
      <c r="E32" s="2"/>
      <c r="G32" s="2"/>
    </row>
    <row r="33" spans="1:7" x14ac:dyDescent="0.25">
      <c r="B33" s="278"/>
      <c r="E33" s="2"/>
      <c r="G33" s="2"/>
    </row>
    <row r="34" spans="1:7" x14ac:dyDescent="0.25">
      <c r="B34" s="278"/>
      <c r="E34" s="2"/>
      <c r="G34" s="2"/>
    </row>
    <row r="36" spans="1:7" x14ac:dyDescent="0.25">
      <c r="A36" s="43"/>
      <c r="B36" s="43"/>
      <c r="C36" s="43" t="s">
        <v>332</v>
      </c>
      <c r="D36" s="43">
        <v>200</v>
      </c>
    </row>
    <row r="37" spans="1:7" x14ac:dyDescent="0.25">
      <c r="A37" s="46"/>
      <c r="B37" s="46"/>
      <c r="C37" s="46" t="s">
        <v>302</v>
      </c>
      <c r="D37" s="46"/>
    </row>
    <row r="38" spans="1:7" x14ac:dyDescent="0.25">
      <c r="A38" s="46">
        <v>1</v>
      </c>
      <c r="B38" s="46"/>
      <c r="C38" s="46" t="s">
        <v>194</v>
      </c>
      <c r="D38" s="279">
        <f t="shared" ref="D38:D62" si="1">G4</f>
        <v>93200</v>
      </c>
      <c r="E38" s="2"/>
    </row>
    <row r="39" spans="1:7" x14ac:dyDescent="0.25">
      <c r="A39" s="46">
        <v>2</v>
      </c>
      <c r="B39" s="46"/>
      <c r="C39" s="46" t="s">
        <v>303</v>
      </c>
      <c r="D39" s="279">
        <f t="shared" si="1"/>
        <v>95996</v>
      </c>
    </row>
    <row r="40" spans="1:7" x14ac:dyDescent="0.25">
      <c r="A40" s="46">
        <v>3</v>
      </c>
      <c r="B40" s="46"/>
      <c r="C40" s="46" t="s">
        <v>304</v>
      </c>
      <c r="D40" s="279">
        <f t="shared" si="1"/>
        <v>98875.88</v>
      </c>
    </row>
    <row r="41" spans="1:7" x14ac:dyDescent="0.25">
      <c r="A41" s="46">
        <v>4</v>
      </c>
      <c r="B41" s="46"/>
      <c r="C41" s="46" t="s">
        <v>305</v>
      </c>
      <c r="D41" s="279">
        <f t="shared" si="1"/>
        <v>101842.15640000001</v>
      </c>
    </row>
    <row r="42" spans="1:7" x14ac:dyDescent="0.25">
      <c r="A42" s="46">
        <v>5</v>
      </c>
      <c r="B42" s="46"/>
      <c r="C42" s="46" t="s">
        <v>306</v>
      </c>
      <c r="D42" s="279">
        <f t="shared" si="1"/>
        <v>104897.421092</v>
      </c>
    </row>
    <row r="43" spans="1:7" x14ac:dyDescent="0.25">
      <c r="A43" s="46">
        <v>6</v>
      </c>
      <c r="B43" s="46"/>
      <c r="C43" s="46" t="s">
        <v>307</v>
      </c>
      <c r="D43" s="279">
        <f t="shared" si="1"/>
        <v>108044.34372476001</v>
      </c>
    </row>
    <row r="44" spans="1:7" x14ac:dyDescent="0.25">
      <c r="A44" s="46">
        <v>7</v>
      </c>
      <c r="B44" s="46"/>
      <c r="C44" s="46" t="s">
        <v>308</v>
      </c>
      <c r="D44" s="279">
        <f t="shared" si="1"/>
        <v>111285.67403650281</v>
      </c>
    </row>
    <row r="45" spans="1:7" x14ac:dyDescent="0.25">
      <c r="A45" s="46">
        <v>8</v>
      </c>
      <c r="B45" s="46"/>
      <c r="C45" s="46" t="s">
        <v>309</v>
      </c>
      <c r="D45" s="279">
        <f t="shared" si="1"/>
        <v>114624.24425759789</v>
      </c>
    </row>
    <row r="46" spans="1:7" x14ac:dyDescent="0.25">
      <c r="A46" s="46">
        <v>9</v>
      </c>
      <c r="B46" s="46"/>
      <c r="C46" s="46" t="s">
        <v>310</v>
      </c>
      <c r="D46" s="279">
        <f t="shared" si="1"/>
        <v>118062.97158532582</v>
      </c>
    </row>
    <row r="47" spans="1:7" x14ac:dyDescent="0.25">
      <c r="A47" s="46">
        <v>10</v>
      </c>
      <c r="B47" s="46"/>
      <c r="C47" s="46" t="s">
        <v>311</v>
      </c>
      <c r="D47" s="279">
        <f t="shared" si="1"/>
        <v>121604.8607328856</v>
      </c>
    </row>
    <row r="48" spans="1:7" x14ac:dyDescent="0.25">
      <c r="A48" s="46">
        <v>11</v>
      </c>
      <c r="B48" s="46"/>
      <c r="C48" s="46" t="s">
        <v>312</v>
      </c>
      <c r="D48" s="279">
        <f t="shared" si="1"/>
        <v>125253.00655487218</v>
      </c>
    </row>
    <row r="49" spans="1:4" x14ac:dyDescent="0.25">
      <c r="A49" s="46">
        <v>12</v>
      </c>
      <c r="B49" s="46"/>
      <c r="C49" s="46" t="s">
        <v>313</v>
      </c>
      <c r="D49" s="279">
        <f t="shared" si="1"/>
        <v>129010.59675151834</v>
      </c>
    </row>
    <row r="50" spans="1:4" x14ac:dyDescent="0.25">
      <c r="A50" s="46">
        <v>13</v>
      </c>
      <c r="B50" s="46"/>
      <c r="C50" s="46" t="s">
        <v>314</v>
      </c>
      <c r="D50" s="279">
        <f t="shared" si="1"/>
        <v>132880.9146540639</v>
      </c>
    </row>
    <row r="51" spans="1:4" x14ac:dyDescent="0.25">
      <c r="A51" s="46">
        <v>14</v>
      </c>
      <c r="B51" s="46"/>
      <c r="C51" s="46" t="s">
        <v>315</v>
      </c>
      <c r="D51" s="279">
        <f t="shared" si="1"/>
        <v>136867.34209368582</v>
      </c>
    </row>
    <row r="52" spans="1:4" x14ac:dyDescent="0.25">
      <c r="A52" s="46">
        <v>15</v>
      </c>
      <c r="B52" s="46"/>
      <c r="C52" s="46" t="s">
        <v>316</v>
      </c>
      <c r="D52" s="279">
        <f t="shared" si="1"/>
        <v>140973.36235649639</v>
      </c>
    </row>
    <row r="53" spans="1:4" x14ac:dyDescent="0.25">
      <c r="A53" s="46">
        <v>16</v>
      </c>
      <c r="B53" s="46"/>
      <c r="C53" s="46" t="s">
        <v>317</v>
      </c>
      <c r="D53" s="279">
        <f t="shared" si="1"/>
        <v>145202.56322719128</v>
      </c>
    </row>
    <row r="54" spans="1:4" x14ac:dyDescent="0.25">
      <c r="A54" s="46">
        <v>17</v>
      </c>
      <c r="B54" s="46"/>
      <c r="C54" s="46" t="s">
        <v>318</v>
      </c>
      <c r="D54" s="279">
        <f t="shared" si="1"/>
        <v>149558.64012400701</v>
      </c>
    </row>
    <row r="55" spans="1:4" x14ac:dyDescent="0.25">
      <c r="A55" s="46">
        <v>18</v>
      </c>
      <c r="B55" s="46"/>
      <c r="C55" s="46" t="s">
        <v>319</v>
      </c>
      <c r="D55" s="279">
        <f t="shared" si="1"/>
        <v>154045.39932772721</v>
      </c>
    </row>
    <row r="56" spans="1:4" x14ac:dyDescent="0.25">
      <c r="A56" s="46">
        <v>19</v>
      </c>
      <c r="B56" s="46"/>
      <c r="C56" s="46" t="s">
        <v>320</v>
      </c>
      <c r="D56" s="279">
        <f t="shared" si="1"/>
        <v>158666.76130755903</v>
      </c>
    </row>
    <row r="57" spans="1:4" x14ac:dyDescent="0.25">
      <c r="A57" s="46">
        <v>20</v>
      </c>
      <c r="B57" s="46"/>
      <c r="C57" s="46" t="s">
        <v>321</v>
      </c>
      <c r="D57" s="279">
        <f t="shared" si="1"/>
        <v>163426.7641467858</v>
      </c>
    </row>
    <row r="58" spans="1:4" x14ac:dyDescent="0.25">
      <c r="A58" s="46">
        <v>21</v>
      </c>
      <c r="B58" s="46"/>
      <c r="C58" s="46" t="s">
        <v>322</v>
      </c>
      <c r="D58" s="279">
        <f t="shared" si="1"/>
        <v>168329.56707118938</v>
      </c>
    </row>
    <row r="59" spans="1:4" x14ac:dyDescent="0.25">
      <c r="A59" s="46">
        <v>22</v>
      </c>
      <c r="B59" s="46"/>
      <c r="C59" s="46" t="s">
        <v>323</v>
      </c>
      <c r="D59" s="279">
        <f t="shared" si="1"/>
        <v>173379.45408332505</v>
      </c>
    </row>
    <row r="60" spans="1:4" x14ac:dyDescent="0.25">
      <c r="A60" s="46">
        <v>23</v>
      </c>
      <c r="B60" s="46"/>
      <c r="C60" s="46" t="s">
        <v>324</v>
      </c>
      <c r="D60" s="279">
        <f t="shared" si="1"/>
        <v>178580.83770582482</v>
      </c>
    </row>
    <row r="61" spans="1:4" x14ac:dyDescent="0.25">
      <c r="A61" s="46">
        <v>24</v>
      </c>
      <c r="B61" s="46"/>
      <c r="C61" s="46" t="s">
        <v>325</v>
      </c>
      <c r="D61" s="279">
        <f t="shared" si="1"/>
        <v>183938.26283699955</v>
      </c>
    </row>
    <row r="62" spans="1:4" x14ac:dyDescent="0.25">
      <c r="A62" s="46">
        <v>25</v>
      </c>
      <c r="B62" s="46"/>
      <c r="C62" s="46" t="s">
        <v>326</v>
      </c>
      <c r="D62" s="279">
        <f t="shared" si="1"/>
        <v>189456.41072210955</v>
      </c>
    </row>
    <row r="70" spans="1:5" x14ac:dyDescent="0.25">
      <c r="A70" s="36"/>
      <c r="B70" s="256" t="s">
        <v>333</v>
      </c>
      <c r="C70" s="60" t="s">
        <v>334</v>
      </c>
      <c r="D70" s="36"/>
      <c r="E70" s="36" t="s">
        <v>331</v>
      </c>
    </row>
    <row r="71" spans="1:5" x14ac:dyDescent="0.25">
      <c r="A71" s="46" t="s">
        <v>356</v>
      </c>
      <c r="B71" s="291" t="s">
        <v>358</v>
      </c>
      <c r="C71" s="46"/>
      <c r="D71" s="46"/>
      <c r="E71" s="280">
        <v>80000</v>
      </c>
    </row>
    <row r="72" spans="1:5" x14ac:dyDescent="0.25">
      <c r="A72" s="46" t="s">
        <v>355</v>
      </c>
      <c r="B72" s="291" t="s">
        <v>358</v>
      </c>
      <c r="C72" s="46"/>
      <c r="D72" s="46"/>
      <c r="E72" s="280">
        <v>80000</v>
      </c>
    </row>
    <row r="73" spans="1:5" x14ac:dyDescent="0.25">
      <c r="A73" s="46" t="s">
        <v>354</v>
      </c>
      <c r="B73" s="291" t="s">
        <v>358</v>
      </c>
      <c r="C73" s="46"/>
      <c r="D73" s="46"/>
      <c r="E73" s="280">
        <v>80000</v>
      </c>
    </row>
    <row r="74" spans="1:5" x14ac:dyDescent="0.25">
      <c r="A74" s="46" t="s">
        <v>353</v>
      </c>
      <c r="B74" s="291" t="s">
        <v>358</v>
      </c>
      <c r="C74" s="46"/>
      <c r="D74" s="46"/>
      <c r="E74" s="280">
        <v>80000</v>
      </c>
    </row>
    <row r="75" spans="1:5" x14ac:dyDescent="0.25">
      <c r="A75" s="46" t="s">
        <v>356</v>
      </c>
      <c r="B75" s="291" t="s">
        <v>357</v>
      </c>
      <c r="C75" s="46"/>
      <c r="D75" s="46"/>
      <c r="E75" s="280">
        <v>20000</v>
      </c>
    </row>
    <row r="76" spans="1:5" x14ac:dyDescent="0.25">
      <c r="A76" s="46" t="s">
        <v>355</v>
      </c>
      <c r="B76" s="291" t="s">
        <v>357</v>
      </c>
      <c r="C76" s="46"/>
      <c r="D76" s="46"/>
      <c r="E76" s="280">
        <v>20000</v>
      </c>
    </row>
    <row r="77" spans="1:5" x14ac:dyDescent="0.25">
      <c r="A77" s="46" t="s">
        <v>354</v>
      </c>
      <c r="B77" s="291" t="s">
        <v>357</v>
      </c>
      <c r="C77" s="46"/>
      <c r="D77" s="46"/>
      <c r="E77" s="280">
        <v>20000</v>
      </c>
    </row>
    <row r="78" spans="1:5" x14ac:dyDescent="0.25">
      <c r="A78" s="46" t="s">
        <v>353</v>
      </c>
      <c r="B78" s="291" t="s">
        <v>357</v>
      </c>
      <c r="C78" s="46"/>
      <c r="D78" s="46"/>
      <c r="E78" s="280">
        <v>20000</v>
      </c>
    </row>
    <row r="79" spans="1:5" x14ac:dyDescent="0.25">
      <c r="A79" s="46" t="s">
        <v>356</v>
      </c>
      <c r="B79" s="292" t="s">
        <v>335</v>
      </c>
      <c r="C79" s="46"/>
      <c r="D79" s="46"/>
      <c r="E79" s="280">
        <v>20000</v>
      </c>
    </row>
    <row r="80" spans="1:5" x14ac:dyDescent="0.25">
      <c r="A80" s="46" t="s">
        <v>355</v>
      </c>
      <c r="B80" s="292" t="s">
        <v>335</v>
      </c>
      <c r="C80" s="46"/>
      <c r="D80" s="46"/>
      <c r="E80" s="280">
        <v>20000</v>
      </c>
    </row>
    <row r="81" spans="1:5" x14ac:dyDescent="0.25">
      <c r="A81" s="46" t="s">
        <v>354</v>
      </c>
      <c r="B81" s="292" t="s">
        <v>335</v>
      </c>
      <c r="C81" s="46"/>
      <c r="D81" s="46"/>
      <c r="E81" s="280">
        <v>20000</v>
      </c>
    </row>
    <row r="82" spans="1:5" x14ac:dyDescent="0.25">
      <c r="A82" s="46" t="s">
        <v>353</v>
      </c>
      <c r="B82" s="292" t="s">
        <v>335</v>
      </c>
      <c r="C82" s="46"/>
      <c r="D82" s="46"/>
      <c r="E82" s="280">
        <v>20000</v>
      </c>
    </row>
    <row r="83" spans="1:5" x14ac:dyDescent="0.25">
      <c r="A83" s="46" t="s">
        <v>352</v>
      </c>
      <c r="B83" s="293"/>
      <c r="C83" s="46"/>
      <c r="D83" s="46"/>
      <c r="E83" s="280">
        <v>1000000</v>
      </c>
    </row>
    <row r="84" spans="1:5" x14ac:dyDescent="0.25">
      <c r="A84" s="292" t="s">
        <v>351</v>
      </c>
      <c r="B84" s="46"/>
      <c r="C84" s="46"/>
      <c r="D84" s="46"/>
      <c r="E84" s="280">
        <v>350000</v>
      </c>
    </row>
    <row r="85" spans="1:5" x14ac:dyDescent="0.25">
      <c r="A85" s="291" t="s">
        <v>350</v>
      </c>
      <c r="B85" s="46"/>
      <c r="C85" s="46"/>
      <c r="D85" s="46"/>
      <c r="E85" s="280">
        <v>500000</v>
      </c>
    </row>
    <row r="86" spans="1:5" x14ac:dyDescent="0.25">
      <c r="A86" s="46"/>
      <c r="B86" s="46"/>
      <c r="C86" s="46"/>
      <c r="D86" s="46"/>
      <c r="E86" s="46"/>
    </row>
    <row r="87" spans="1:5" x14ac:dyDescent="0.25">
      <c r="A87" s="46"/>
      <c r="B87" s="46"/>
      <c r="C87" s="46"/>
      <c r="D87" s="46"/>
      <c r="E87" s="46"/>
    </row>
    <row r="88" spans="1:5" x14ac:dyDescent="0.25">
      <c r="A88" s="46"/>
      <c r="B88" s="46"/>
      <c r="C88" s="46"/>
      <c r="D88" s="46"/>
      <c r="E88" s="115">
        <f>SUM(E71:E87)</f>
        <v>2330000</v>
      </c>
    </row>
  </sheetData>
  <pageMargins left="0.7" right="0.7" top="0.75" bottom="0.75" header="0.3" footer="0.3"/>
  <pageSetup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91"/>
  <sheetViews>
    <sheetView workbookViewId="0">
      <selection activeCell="B2" sqref="B2:B28"/>
    </sheetView>
  </sheetViews>
  <sheetFormatPr defaultRowHeight="15" x14ac:dyDescent="0.25"/>
  <cols>
    <col min="1" max="1" width="16" customWidth="1"/>
    <col min="2" max="2" width="17.85546875" customWidth="1"/>
    <col min="3" max="3" width="19.5703125" customWidth="1"/>
    <col min="4" max="4" width="12.140625" customWidth="1"/>
    <col min="5" max="5" width="13.85546875" customWidth="1"/>
    <col min="7" max="7" width="13.28515625" customWidth="1"/>
  </cols>
  <sheetData>
    <row r="1" spans="1:9" ht="18.75" x14ac:dyDescent="0.3">
      <c r="A1" s="36"/>
      <c r="B1" s="36"/>
      <c r="C1" s="120" t="s">
        <v>372</v>
      </c>
      <c r="D1" s="36"/>
      <c r="E1" s="36"/>
      <c r="F1" s="36"/>
      <c r="G1" s="36"/>
      <c r="H1" s="36"/>
      <c r="I1" s="36"/>
    </row>
    <row r="2" spans="1:9" ht="18.75" x14ac:dyDescent="0.3">
      <c r="A2" s="275" t="s">
        <v>328</v>
      </c>
      <c r="B2" s="43"/>
      <c r="C2" s="111"/>
      <c r="D2" s="43"/>
      <c r="E2" s="43"/>
      <c r="F2" s="43"/>
      <c r="G2" s="43"/>
      <c r="H2" s="43"/>
      <c r="I2" s="43"/>
    </row>
    <row r="3" spans="1:9" ht="15.75" x14ac:dyDescent="0.25">
      <c r="A3" s="43" t="s">
        <v>371</v>
      </c>
      <c r="B3" s="43"/>
      <c r="C3" s="127"/>
      <c r="D3" s="109" t="s">
        <v>330</v>
      </c>
      <c r="E3" s="43" t="s">
        <v>331</v>
      </c>
      <c r="F3" s="43" t="s">
        <v>302</v>
      </c>
      <c r="G3" s="43"/>
      <c r="H3" s="43"/>
      <c r="I3" s="43"/>
    </row>
    <row r="4" spans="1:9" x14ac:dyDescent="0.25">
      <c r="A4" s="43">
        <v>1</v>
      </c>
      <c r="B4" s="276">
        <v>44377</v>
      </c>
      <c r="C4" s="43"/>
      <c r="D4" s="43"/>
      <c r="E4" s="107">
        <f>E82</f>
        <v>171000</v>
      </c>
      <c r="F4" s="43" t="s">
        <v>194</v>
      </c>
      <c r="G4" s="107">
        <f>E4/25</f>
        <v>6840</v>
      </c>
      <c r="H4" s="107"/>
      <c r="I4" s="43"/>
    </row>
    <row r="5" spans="1:9" x14ac:dyDescent="0.25">
      <c r="A5" s="43">
        <v>2</v>
      </c>
      <c r="B5" s="276">
        <v>44742</v>
      </c>
      <c r="C5" s="43"/>
      <c r="D5" s="43"/>
      <c r="E5" s="107"/>
      <c r="F5" s="43" t="s">
        <v>303</v>
      </c>
      <c r="G5" s="107">
        <f>G4*0.03 + G4</f>
        <v>7045.2</v>
      </c>
      <c r="H5" s="43"/>
      <c r="I5" s="43"/>
    </row>
    <row r="6" spans="1:9" x14ac:dyDescent="0.25">
      <c r="A6" s="43">
        <v>3</v>
      </c>
      <c r="B6" s="276">
        <v>45107</v>
      </c>
      <c r="C6" s="43"/>
      <c r="D6" s="43"/>
      <c r="E6" s="107"/>
      <c r="F6" s="43" t="s">
        <v>304</v>
      </c>
      <c r="G6" s="107">
        <f t="shared" ref="G6:G28" si="0">G5*0.03+G5</f>
        <v>7256.5559999999996</v>
      </c>
      <c r="H6" s="129"/>
      <c r="I6" s="43"/>
    </row>
    <row r="7" spans="1:9" x14ac:dyDescent="0.25">
      <c r="A7" s="43">
        <v>4</v>
      </c>
      <c r="B7" s="276">
        <v>45473</v>
      </c>
      <c r="C7" s="43"/>
      <c r="D7" s="43"/>
      <c r="E7" s="107"/>
      <c r="F7" s="43" t="s">
        <v>305</v>
      </c>
      <c r="G7" s="107">
        <f t="shared" si="0"/>
        <v>7474.2526799999996</v>
      </c>
      <c r="H7" s="43"/>
      <c r="I7" s="43"/>
    </row>
    <row r="8" spans="1:9" x14ac:dyDescent="0.25">
      <c r="A8" s="43">
        <v>5</v>
      </c>
      <c r="B8" s="276">
        <v>45838</v>
      </c>
      <c r="C8" s="43"/>
      <c r="D8" s="43"/>
      <c r="E8" s="107"/>
      <c r="F8" s="43" t="s">
        <v>306</v>
      </c>
      <c r="G8" s="107">
        <f t="shared" si="0"/>
        <v>7698.4802603999997</v>
      </c>
      <c r="H8" s="43"/>
      <c r="I8" s="43"/>
    </row>
    <row r="9" spans="1:9" x14ac:dyDescent="0.25">
      <c r="A9" s="43">
        <v>6</v>
      </c>
      <c r="B9" s="276">
        <v>46203</v>
      </c>
      <c r="C9" s="43"/>
      <c r="D9" s="43"/>
      <c r="E9" s="107"/>
      <c r="F9" s="43" t="s">
        <v>307</v>
      </c>
      <c r="G9" s="107">
        <f t="shared" si="0"/>
        <v>7929.4346682119995</v>
      </c>
      <c r="H9" s="107"/>
      <c r="I9" s="43"/>
    </row>
    <row r="10" spans="1:9" x14ac:dyDescent="0.25">
      <c r="A10" s="43">
        <v>7</v>
      </c>
      <c r="B10" s="276">
        <v>46568</v>
      </c>
      <c r="C10" s="43"/>
      <c r="D10" s="43"/>
      <c r="E10" s="107"/>
      <c r="F10" s="43" t="s">
        <v>308</v>
      </c>
      <c r="G10" s="107">
        <f t="shared" si="0"/>
        <v>8167.3177082583597</v>
      </c>
      <c r="H10" s="43"/>
      <c r="I10" s="43"/>
    </row>
    <row r="11" spans="1:9" x14ac:dyDescent="0.25">
      <c r="A11" s="43">
        <v>8</v>
      </c>
      <c r="B11" s="276">
        <v>46934</v>
      </c>
      <c r="C11" s="43"/>
      <c r="D11" s="43"/>
      <c r="E11" s="107"/>
      <c r="F11" s="43" t="s">
        <v>309</v>
      </c>
      <c r="G11" s="107">
        <f t="shared" si="0"/>
        <v>8412.3372395061106</v>
      </c>
      <c r="H11" s="43"/>
      <c r="I11" s="43"/>
    </row>
    <row r="12" spans="1:9" x14ac:dyDescent="0.25">
      <c r="A12" s="43">
        <v>9</v>
      </c>
      <c r="B12" s="276">
        <v>47299</v>
      </c>
      <c r="C12" s="43"/>
      <c r="D12" s="43"/>
      <c r="E12" s="107"/>
      <c r="F12" s="43" t="s">
        <v>310</v>
      </c>
      <c r="G12" s="107">
        <f t="shared" si="0"/>
        <v>8664.7073566912932</v>
      </c>
      <c r="H12" s="43"/>
      <c r="I12" s="43"/>
    </row>
    <row r="13" spans="1:9" x14ac:dyDescent="0.25">
      <c r="A13" s="43">
        <v>10</v>
      </c>
      <c r="B13" s="276">
        <v>47664</v>
      </c>
      <c r="C13" s="43"/>
      <c r="D13" s="43"/>
      <c r="E13" s="107"/>
      <c r="F13" s="43" t="s">
        <v>311</v>
      </c>
      <c r="G13" s="107">
        <f t="shared" si="0"/>
        <v>8924.6485773920322</v>
      </c>
      <c r="H13" s="43"/>
      <c r="I13" s="43"/>
    </row>
    <row r="14" spans="1:9" x14ac:dyDescent="0.25">
      <c r="A14" s="43">
        <v>11</v>
      </c>
      <c r="B14" s="276">
        <v>48029</v>
      </c>
      <c r="C14" s="43"/>
      <c r="D14" s="43"/>
      <c r="E14" s="107"/>
      <c r="F14" s="43" t="s">
        <v>312</v>
      </c>
      <c r="G14" s="107">
        <f t="shared" si="0"/>
        <v>9192.3880347137929</v>
      </c>
      <c r="H14" s="43"/>
      <c r="I14" s="43"/>
    </row>
    <row r="15" spans="1:9" x14ac:dyDescent="0.25">
      <c r="A15" s="43">
        <v>12</v>
      </c>
      <c r="B15" s="276">
        <v>48395</v>
      </c>
      <c r="C15" s="43"/>
      <c r="D15" s="43"/>
      <c r="E15" s="107"/>
      <c r="F15" s="43" t="s">
        <v>313</v>
      </c>
      <c r="G15" s="107">
        <f t="shared" si="0"/>
        <v>9468.159675755207</v>
      </c>
      <c r="H15" s="43"/>
      <c r="I15" s="43"/>
    </row>
    <row r="16" spans="1:9" x14ac:dyDescent="0.25">
      <c r="A16" s="43">
        <v>13</v>
      </c>
      <c r="B16" s="276">
        <v>48760</v>
      </c>
      <c r="C16" s="43"/>
      <c r="D16" s="43"/>
      <c r="E16" s="107"/>
      <c r="F16" s="43" t="s">
        <v>314</v>
      </c>
      <c r="G16" s="107">
        <f t="shared" si="0"/>
        <v>9752.2044660278625</v>
      </c>
      <c r="H16" s="43"/>
      <c r="I16" s="43"/>
    </row>
    <row r="17" spans="1:9" x14ac:dyDescent="0.25">
      <c r="A17" s="43">
        <v>14</v>
      </c>
      <c r="B17" s="276">
        <v>49125</v>
      </c>
      <c r="C17" s="43"/>
      <c r="D17" s="43"/>
      <c r="E17" s="107"/>
      <c r="F17" s="43" t="s">
        <v>315</v>
      </c>
      <c r="G17" s="107">
        <f t="shared" si="0"/>
        <v>10044.770600008698</v>
      </c>
      <c r="H17" s="43"/>
      <c r="I17" s="43"/>
    </row>
    <row r="18" spans="1:9" x14ac:dyDescent="0.25">
      <c r="A18" s="43">
        <v>15</v>
      </c>
      <c r="B18" s="276">
        <v>49490</v>
      </c>
      <c r="C18" s="43"/>
      <c r="D18" s="43"/>
      <c r="E18" s="107"/>
      <c r="F18" s="43" t="s">
        <v>316</v>
      </c>
      <c r="G18" s="107">
        <f t="shared" si="0"/>
        <v>10346.113718008959</v>
      </c>
      <c r="H18" s="43"/>
      <c r="I18" s="43"/>
    </row>
    <row r="19" spans="1:9" x14ac:dyDescent="0.25">
      <c r="A19" s="43">
        <v>16</v>
      </c>
      <c r="B19" s="276">
        <v>49856</v>
      </c>
      <c r="C19" s="43"/>
      <c r="D19" s="43"/>
      <c r="E19" s="107"/>
      <c r="F19" s="43" t="s">
        <v>317</v>
      </c>
      <c r="G19" s="107">
        <f t="shared" si="0"/>
        <v>10656.497129549229</v>
      </c>
      <c r="H19" s="43"/>
      <c r="I19" s="43"/>
    </row>
    <row r="20" spans="1:9" x14ac:dyDescent="0.25">
      <c r="A20" s="43">
        <v>17</v>
      </c>
      <c r="B20" s="276">
        <v>50221</v>
      </c>
      <c r="C20" s="43"/>
      <c r="D20" s="43"/>
      <c r="E20" s="107"/>
      <c r="F20" s="43" t="s">
        <v>318</v>
      </c>
      <c r="G20" s="107">
        <f t="shared" si="0"/>
        <v>10976.192043435705</v>
      </c>
      <c r="H20" s="43"/>
      <c r="I20" s="43"/>
    </row>
    <row r="21" spans="1:9" x14ac:dyDescent="0.25">
      <c r="A21" s="43">
        <v>18</v>
      </c>
      <c r="B21" s="276">
        <v>50586</v>
      </c>
      <c r="C21" s="43"/>
      <c r="D21" s="43"/>
      <c r="E21" s="107"/>
      <c r="F21" s="43" t="s">
        <v>319</v>
      </c>
      <c r="G21" s="107">
        <f t="shared" si="0"/>
        <v>11305.477804738777</v>
      </c>
      <c r="H21" s="43"/>
      <c r="I21" s="43"/>
    </row>
    <row r="22" spans="1:9" x14ac:dyDescent="0.25">
      <c r="A22" s="43">
        <v>19</v>
      </c>
      <c r="B22" s="276">
        <v>50951</v>
      </c>
      <c r="C22" s="43"/>
      <c r="D22" s="43"/>
      <c r="E22" s="107"/>
      <c r="F22" s="43" t="s">
        <v>320</v>
      </c>
      <c r="G22" s="107">
        <f t="shared" si="0"/>
        <v>11644.642138880941</v>
      </c>
      <c r="H22" s="43"/>
      <c r="I22" s="43"/>
    </row>
    <row r="23" spans="1:9" x14ac:dyDescent="0.25">
      <c r="A23" s="43">
        <v>20</v>
      </c>
      <c r="B23" s="276">
        <v>51317</v>
      </c>
      <c r="C23" s="43"/>
      <c r="D23" s="43"/>
      <c r="E23" s="107"/>
      <c r="F23" s="43" t="s">
        <v>321</v>
      </c>
      <c r="G23" s="107">
        <f t="shared" si="0"/>
        <v>11993.98140304737</v>
      </c>
      <c r="H23" s="43"/>
      <c r="I23" s="43"/>
    </row>
    <row r="24" spans="1:9" x14ac:dyDescent="0.25">
      <c r="A24" s="43">
        <v>21</v>
      </c>
      <c r="B24" s="276">
        <v>51682</v>
      </c>
      <c r="C24" s="43"/>
      <c r="D24" s="43"/>
      <c r="E24" s="107"/>
      <c r="F24" s="43" t="s">
        <v>322</v>
      </c>
      <c r="G24" s="107">
        <f t="shared" si="0"/>
        <v>12353.80084513879</v>
      </c>
      <c r="H24" s="43"/>
      <c r="I24" s="43"/>
    </row>
    <row r="25" spans="1:9" x14ac:dyDescent="0.25">
      <c r="A25" s="43">
        <v>22</v>
      </c>
      <c r="B25" s="276">
        <v>52047</v>
      </c>
      <c r="C25" s="43"/>
      <c r="D25" s="43"/>
      <c r="E25" s="107"/>
      <c r="F25" s="43" t="s">
        <v>323</v>
      </c>
      <c r="G25" s="107">
        <f t="shared" si="0"/>
        <v>12724.414870492954</v>
      </c>
      <c r="H25" s="43"/>
      <c r="I25" s="43"/>
    </row>
    <row r="26" spans="1:9" x14ac:dyDescent="0.25">
      <c r="A26" s="43">
        <v>23</v>
      </c>
      <c r="B26" s="276">
        <v>52412</v>
      </c>
      <c r="C26" s="43"/>
      <c r="D26" s="43"/>
      <c r="E26" s="107"/>
      <c r="F26" s="43" t="s">
        <v>324</v>
      </c>
      <c r="G26" s="107">
        <f t="shared" si="0"/>
        <v>13106.147316607743</v>
      </c>
      <c r="H26" s="43"/>
      <c r="I26" s="43"/>
    </row>
    <row r="27" spans="1:9" ht="15" customHeight="1" x14ac:dyDescent="0.25">
      <c r="A27" s="43">
        <v>24</v>
      </c>
      <c r="B27" s="276">
        <v>52778</v>
      </c>
      <c r="C27" s="43"/>
      <c r="D27" s="43"/>
      <c r="E27" s="107"/>
      <c r="F27" s="43" t="s">
        <v>325</v>
      </c>
      <c r="G27" s="107">
        <f t="shared" si="0"/>
        <v>13499.331736105974</v>
      </c>
      <c r="H27" s="43"/>
      <c r="I27" s="43"/>
    </row>
    <row r="28" spans="1:9" x14ac:dyDescent="0.25">
      <c r="A28" s="43">
        <v>25</v>
      </c>
      <c r="B28" s="276">
        <v>53143</v>
      </c>
      <c r="C28" s="43"/>
      <c r="D28" s="43"/>
      <c r="E28" s="107"/>
      <c r="F28" s="43" t="s">
        <v>326</v>
      </c>
      <c r="G28" s="107">
        <f t="shared" si="0"/>
        <v>13904.311688189153</v>
      </c>
      <c r="H28" s="43"/>
      <c r="I28" s="43"/>
    </row>
    <row r="29" spans="1:9" x14ac:dyDescent="0.25">
      <c r="A29" s="43"/>
      <c r="B29" s="276"/>
      <c r="C29" s="43"/>
      <c r="D29" s="43"/>
      <c r="E29" s="107"/>
      <c r="F29" s="43"/>
      <c r="G29" s="107"/>
      <c r="H29" s="43"/>
      <c r="I29" s="43"/>
    </row>
    <row r="30" spans="1:9" x14ac:dyDescent="0.25">
      <c r="B30" s="278"/>
      <c r="E30" s="2"/>
      <c r="G30" s="2"/>
    </row>
    <row r="31" spans="1:9" x14ac:dyDescent="0.25">
      <c r="B31" s="278"/>
      <c r="E31" s="2"/>
      <c r="G31" s="2"/>
    </row>
    <row r="32" spans="1:9" x14ac:dyDescent="0.25">
      <c r="B32" s="278"/>
      <c r="E32" s="2"/>
      <c r="G32" s="2"/>
    </row>
    <row r="33" spans="2:7" x14ac:dyDescent="0.25">
      <c r="B33" s="278"/>
      <c r="E33" s="2"/>
      <c r="G33" s="2"/>
    </row>
    <row r="34" spans="2:7" x14ac:dyDescent="0.25">
      <c r="B34" s="278"/>
      <c r="E34" s="2"/>
      <c r="G34" s="2"/>
    </row>
    <row r="36" spans="2:7" x14ac:dyDescent="0.25">
      <c r="C36" t="s">
        <v>332</v>
      </c>
      <c r="D36">
        <v>300</v>
      </c>
    </row>
    <row r="37" spans="2:7" x14ac:dyDescent="0.25">
      <c r="B37" s="263">
        <v>1</v>
      </c>
      <c r="C37" t="s">
        <v>302</v>
      </c>
    </row>
    <row r="38" spans="2:7" ht="15.75" thickBot="1" x14ac:dyDescent="0.3">
      <c r="B38" s="263">
        <v>2</v>
      </c>
      <c r="C38" t="s">
        <v>194</v>
      </c>
      <c r="D38" s="294">
        <f t="shared" ref="D38:D62" si="1">G4</f>
        <v>6840</v>
      </c>
      <c r="E38" s="2"/>
    </row>
    <row r="39" spans="2:7" ht="15.75" thickTop="1" x14ac:dyDescent="0.25">
      <c r="B39" s="263">
        <v>3</v>
      </c>
      <c r="C39" t="s">
        <v>303</v>
      </c>
      <c r="D39" s="2">
        <f t="shared" si="1"/>
        <v>7045.2</v>
      </c>
    </row>
    <row r="40" spans="2:7" x14ac:dyDescent="0.25">
      <c r="B40" s="263">
        <v>4</v>
      </c>
      <c r="C40" t="s">
        <v>304</v>
      </c>
      <c r="D40" s="2">
        <f t="shared" si="1"/>
        <v>7256.5559999999996</v>
      </c>
    </row>
    <row r="41" spans="2:7" x14ac:dyDescent="0.25">
      <c r="B41" s="263">
        <v>5</v>
      </c>
      <c r="C41" t="s">
        <v>305</v>
      </c>
      <c r="D41" s="2">
        <f t="shared" si="1"/>
        <v>7474.2526799999996</v>
      </c>
    </row>
    <row r="42" spans="2:7" x14ac:dyDescent="0.25">
      <c r="B42" s="263">
        <v>6</v>
      </c>
      <c r="C42" t="s">
        <v>306</v>
      </c>
      <c r="D42" s="2">
        <f t="shared" si="1"/>
        <v>7698.4802603999997</v>
      </c>
    </row>
    <row r="43" spans="2:7" x14ac:dyDescent="0.25">
      <c r="B43" s="263">
        <v>7</v>
      </c>
      <c r="C43" t="s">
        <v>307</v>
      </c>
      <c r="D43" s="2">
        <f t="shared" si="1"/>
        <v>7929.4346682119995</v>
      </c>
    </row>
    <row r="44" spans="2:7" x14ac:dyDescent="0.25">
      <c r="B44" s="263">
        <v>8</v>
      </c>
      <c r="C44" t="s">
        <v>308</v>
      </c>
      <c r="D44" s="2">
        <f t="shared" si="1"/>
        <v>8167.3177082583597</v>
      </c>
    </row>
    <row r="45" spans="2:7" x14ac:dyDescent="0.25">
      <c r="B45" s="263">
        <v>9</v>
      </c>
      <c r="C45" t="s">
        <v>309</v>
      </c>
      <c r="D45" s="2">
        <f t="shared" si="1"/>
        <v>8412.3372395061106</v>
      </c>
    </row>
    <row r="46" spans="2:7" x14ac:dyDescent="0.25">
      <c r="B46" s="263">
        <v>10</v>
      </c>
      <c r="C46" t="s">
        <v>310</v>
      </c>
      <c r="D46" s="2">
        <f t="shared" si="1"/>
        <v>8664.7073566912932</v>
      </c>
    </row>
    <row r="47" spans="2:7" x14ac:dyDescent="0.25">
      <c r="B47" s="263">
        <v>11</v>
      </c>
      <c r="C47" t="s">
        <v>311</v>
      </c>
      <c r="D47" s="2">
        <f t="shared" si="1"/>
        <v>8924.6485773920322</v>
      </c>
    </row>
    <row r="48" spans="2:7" x14ac:dyDescent="0.25">
      <c r="B48" s="263">
        <v>12</v>
      </c>
      <c r="C48" t="s">
        <v>312</v>
      </c>
      <c r="D48" s="2">
        <f t="shared" si="1"/>
        <v>9192.3880347137929</v>
      </c>
    </row>
    <row r="49" spans="2:4" x14ac:dyDescent="0.25">
      <c r="B49" s="263">
        <v>13</v>
      </c>
      <c r="C49" t="s">
        <v>313</v>
      </c>
      <c r="D49" s="2">
        <f t="shared" si="1"/>
        <v>9468.159675755207</v>
      </c>
    </row>
    <row r="50" spans="2:4" x14ac:dyDescent="0.25">
      <c r="B50" s="263">
        <v>14</v>
      </c>
      <c r="C50" t="s">
        <v>314</v>
      </c>
      <c r="D50" s="2">
        <f t="shared" si="1"/>
        <v>9752.2044660278625</v>
      </c>
    </row>
    <row r="51" spans="2:4" x14ac:dyDescent="0.25">
      <c r="B51" s="263">
        <v>15</v>
      </c>
      <c r="C51" t="s">
        <v>315</v>
      </c>
      <c r="D51" s="2">
        <f t="shared" si="1"/>
        <v>10044.770600008698</v>
      </c>
    </row>
    <row r="52" spans="2:4" x14ac:dyDescent="0.25">
      <c r="B52" s="263">
        <v>16</v>
      </c>
      <c r="C52" t="s">
        <v>316</v>
      </c>
      <c r="D52" s="2">
        <f t="shared" si="1"/>
        <v>10346.113718008959</v>
      </c>
    </row>
    <row r="53" spans="2:4" x14ac:dyDescent="0.25">
      <c r="B53" s="263">
        <v>17</v>
      </c>
      <c r="C53" t="s">
        <v>317</v>
      </c>
      <c r="D53" s="2">
        <f t="shared" si="1"/>
        <v>10656.497129549229</v>
      </c>
    </row>
    <row r="54" spans="2:4" x14ac:dyDescent="0.25">
      <c r="B54" s="263">
        <v>18</v>
      </c>
      <c r="C54" t="s">
        <v>318</v>
      </c>
      <c r="D54" s="2">
        <f t="shared" si="1"/>
        <v>10976.192043435705</v>
      </c>
    </row>
    <row r="55" spans="2:4" x14ac:dyDescent="0.25">
      <c r="B55" s="263">
        <v>19</v>
      </c>
      <c r="C55" t="s">
        <v>319</v>
      </c>
      <c r="D55" s="2">
        <f t="shared" si="1"/>
        <v>11305.477804738777</v>
      </c>
    </row>
    <row r="56" spans="2:4" x14ac:dyDescent="0.25">
      <c r="B56" s="263">
        <v>20</v>
      </c>
      <c r="C56" t="s">
        <v>320</v>
      </c>
      <c r="D56" s="2">
        <f t="shared" si="1"/>
        <v>11644.642138880941</v>
      </c>
    </row>
    <row r="57" spans="2:4" x14ac:dyDescent="0.25">
      <c r="B57" s="263">
        <v>21</v>
      </c>
      <c r="C57" t="s">
        <v>321</v>
      </c>
      <c r="D57" s="2">
        <f t="shared" si="1"/>
        <v>11993.98140304737</v>
      </c>
    </row>
    <row r="58" spans="2:4" x14ac:dyDescent="0.25">
      <c r="B58" s="263">
        <v>22</v>
      </c>
      <c r="C58" t="s">
        <v>322</v>
      </c>
      <c r="D58" s="2">
        <f t="shared" si="1"/>
        <v>12353.80084513879</v>
      </c>
    </row>
    <row r="59" spans="2:4" x14ac:dyDescent="0.25">
      <c r="B59" s="263">
        <v>23</v>
      </c>
      <c r="C59" t="s">
        <v>323</v>
      </c>
      <c r="D59" s="2">
        <f t="shared" si="1"/>
        <v>12724.414870492954</v>
      </c>
    </row>
    <row r="60" spans="2:4" x14ac:dyDescent="0.25">
      <c r="B60" s="263">
        <v>24</v>
      </c>
      <c r="C60" t="s">
        <v>324</v>
      </c>
      <c r="D60" s="2">
        <f t="shared" si="1"/>
        <v>13106.147316607743</v>
      </c>
    </row>
    <row r="61" spans="2:4" x14ac:dyDescent="0.25">
      <c r="B61" s="263">
        <v>25</v>
      </c>
      <c r="C61" t="s">
        <v>325</v>
      </c>
      <c r="D61" s="2">
        <f t="shared" si="1"/>
        <v>13499.331736105974</v>
      </c>
    </row>
    <row r="62" spans="2:4" x14ac:dyDescent="0.25">
      <c r="B62" s="263">
        <v>26</v>
      </c>
      <c r="C62" t="s">
        <v>326</v>
      </c>
      <c r="D62" s="2">
        <f t="shared" si="1"/>
        <v>13904.311688189153</v>
      </c>
    </row>
    <row r="70" spans="2:5" x14ac:dyDescent="0.25">
      <c r="B70" s="225" t="s">
        <v>333</v>
      </c>
      <c r="C70" s="286" t="s">
        <v>334</v>
      </c>
      <c r="E70" t="s">
        <v>331</v>
      </c>
    </row>
    <row r="71" spans="2:5" x14ac:dyDescent="0.25">
      <c r="B71" t="s">
        <v>335</v>
      </c>
      <c r="E71" s="1">
        <v>20000</v>
      </c>
    </row>
    <row r="72" spans="2:5" x14ac:dyDescent="0.25">
      <c r="B72" t="s">
        <v>370</v>
      </c>
      <c r="E72" s="1">
        <v>25000</v>
      </c>
    </row>
    <row r="73" spans="2:5" x14ac:dyDescent="0.25">
      <c r="B73" t="s">
        <v>369</v>
      </c>
      <c r="E73" s="1">
        <v>80000</v>
      </c>
    </row>
    <row r="74" spans="2:5" x14ac:dyDescent="0.25">
      <c r="B74" t="s">
        <v>338</v>
      </c>
      <c r="E74" s="1"/>
    </row>
    <row r="75" spans="2:5" x14ac:dyDescent="0.25">
      <c r="B75" t="s">
        <v>339</v>
      </c>
      <c r="E75" s="1">
        <v>20000</v>
      </c>
    </row>
    <row r="76" spans="2:5" x14ac:dyDescent="0.25">
      <c r="B76" t="s">
        <v>368</v>
      </c>
      <c r="E76" s="1">
        <v>10000</v>
      </c>
    </row>
    <row r="77" spans="2:5" x14ac:dyDescent="0.25">
      <c r="B77" t="s">
        <v>367</v>
      </c>
      <c r="E77" s="1">
        <v>16000</v>
      </c>
    </row>
    <row r="82" spans="5:5" x14ac:dyDescent="0.25">
      <c r="E82" s="1">
        <f>SUM(E71:E81)</f>
        <v>171000</v>
      </c>
    </row>
    <row r="103" spans="1:8" ht="15.75" x14ac:dyDescent="0.25">
      <c r="A103" t="s">
        <v>366</v>
      </c>
      <c r="C103" s="224"/>
      <c r="D103" s="286" t="s">
        <v>330</v>
      </c>
      <c r="E103" t="s">
        <v>331</v>
      </c>
      <c r="F103" t="s">
        <v>302</v>
      </c>
    </row>
    <row r="104" spans="1:8" x14ac:dyDescent="0.25">
      <c r="A104">
        <v>1</v>
      </c>
      <c r="B104" s="278">
        <v>44377</v>
      </c>
      <c r="E104" s="2">
        <f>E191</f>
        <v>220000</v>
      </c>
      <c r="F104" t="s">
        <v>194</v>
      </c>
      <c r="G104" s="2">
        <f>E104/25</f>
        <v>8800</v>
      </c>
      <c r="H104" s="2"/>
    </row>
    <row r="105" spans="1:8" x14ac:dyDescent="0.25">
      <c r="A105">
        <v>2</v>
      </c>
      <c r="B105" s="278">
        <v>44742</v>
      </c>
      <c r="E105" s="2"/>
      <c r="F105" t="s">
        <v>303</v>
      </c>
      <c r="G105" s="2">
        <f>G104*0.03 + G104</f>
        <v>9064</v>
      </c>
    </row>
    <row r="106" spans="1:8" x14ac:dyDescent="0.25">
      <c r="A106">
        <v>3</v>
      </c>
      <c r="B106" s="278">
        <v>45107</v>
      </c>
      <c r="E106" s="2"/>
      <c r="F106" t="s">
        <v>304</v>
      </c>
      <c r="G106" s="2">
        <f t="shared" ref="G106:G128" si="2">G105*0.03+G105</f>
        <v>9335.92</v>
      </c>
      <c r="H106" s="277"/>
    </row>
    <row r="107" spans="1:8" x14ac:dyDescent="0.25">
      <c r="A107">
        <v>4</v>
      </c>
      <c r="B107" s="278">
        <v>45473</v>
      </c>
      <c r="E107" s="2"/>
      <c r="F107" t="s">
        <v>305</v>
      </c>
      <c r="G107" s="2">
        <f t="shared" si="2"/>
        <v>9615.9976000000006</v>
      </c>
    </row>
    <row r="108" spans="1:8" x14ac:dyDescent="0.25">
      <c r="A108">
        <v>5</v>
      </c>
      <c r="B108" s="278">
        <v>45838</v>
      </c>
      <c r="E108" s="2"/>
      <c r="F108" t="s">
        <v>306</v>
      </c>
      <c r="G108" s="2">
        <f t="shared" si="2"/>
        <v>9904.4775280000013</v>
      </c>
    </row>
    <row r="109" spans="1:8" x14ac:dyDescent="0.25">
      <c r="A109">
        <v>6</v>
      </c>
      <c r="B109" s="278">
        <v>46203</v>
      </c>
      <c r="E109" s="2"/>
      <c r="F109" t="s">
        <v>307</v>
      </c>
      <c r="G109" s="2">
        <f t="shared" si="2"/>
        <v>10201.611853840001</v>
      </c>
      <c r="H109" s="2"/>
    </row>
    <row r="110" spans="1:8" x14ac:dyDescent="0.25">
      <c r="A110">
        <v>7</v>
      </c>
      <c r="B110" s="278">
        <v>46568</v>
      </c>
      <c r="E110" s="2"/>
      <c r="F110" t="s">
        <v>308</v>
      </c>
      <c r="G110" s="2">
        <f t="shared" si="2"/>
        <v>10507.6602094552</v>
      </c>
    </row>
    <row r="111" spans="1:8" x14ac:dyDescent="0.25">
      <c r="A111">
        <v>8</v>
      </c>
      <c r="B111" s="278">
        <v>46934</v>
      </c>
      <c r="E111" s="2"/>
      <c r="F111" t="s">
        <v>309</v>
      </c>
      <c r="G111" s="2">
        <f t="shared" si="2"/>
        <v>10822.890015738856</v>
      </c>
    </row>
    <row r="112" spans="1:8" x14ac:dyDescent="0.25">
      <c r="A112">
        <v>9</v>
      </c>
      <c r="B112" s="278">
        <v>47299</v>
      </c>
      <c r="E112" s="2"/>
      <c r="F112" t="s">
        <v>310</v>
      </c>
      <c r="G112" s="2">
        <f t="shared" si="2"/>
        <v>11147.576716211022</v>
      </c>
    </row>
    <row r="113" spans="1:7" x14ac:dyDescent="0.25">
      <c r="A113">
        <v>10</v>
      </c>
      <c r="B113" s="278">
        <v>47664</v>
      </c>
      <c r="E113" s="2"/>
      <c r="F113" t="s">
        <v>311</v>
      </c>
      <c r="G113" s="2">
        <f t="shared" si="2"/>
        <v>11482.004017697353</v>
      </c>
    </row>
    <row r="114" spans="1:7" x14ac:dyDescent="0.25">
      <c r="A114">
        <v>11</v>
      </c>
      <c r="B114" s="278">
        <v>48029</v>
      </c>
      <c r="E114" s="2"/>
      <c r="F114" t="s">
        <v>312</v>
      </c>
      <c r="G114" s="2">
        <f t="shared" si="2"/>
        <v>11826.464138228273</v>
      </c>
    </row>
    <row r="115" spans="1:7" x14ac:dyDescent="0.25">
      <c r="A115">
        <v>12</v>
      </c>
      <c r="B115" s="278">
        <v>48395</v>
      </c>
      <c r="E115" s="2"/>
      <c r="F115" t="s">
        <v>313</v>
      </c>
      <c r="G115" s="2">
        <f t="shared" si="2"/>
        <v>12181.258062375122</v>
      </c>
    </row>
    <row r="116" spans="1:7" x14ac:dyDescent="0.25">
      <c r="A116">
        <v>13</v>
      </c>
      <c r="B116" s="278">
        <v>48760</v>
      </c>
      <c r="E116" s="2"/>
      <c r="F116" t="s">
        <v>314</v>
      </c>
      <c r="G116" s="2">
        <f t="shared" si="2"/>
        <v>12546.695804246376</v>
      </c>
    </row>
    <row r="117" spans="1:7" x14ac:dyDescent="0.25">
      <c r="A117">
        <v>14</v>
      </c>
      <c r="B117" s="278">
        <v>49125</v>
      </c>
      <c r="E117" s="2"/>
      <c r="F117" t="s">
        <v>315</v>
      </c>
      <c r="G117" s="2">
        <f t="shared" si="2"/>
        <v>12923.096678373768</v>
      </c>
    </row>
    <row r="118" spans="1:7" x14ac:dyDescent="0.25">
      <c r="A118">
        <v>15</v>
      </c>
      <c r="B118" s="278">
        <v>49490</v>
      </c>
      <c r="E118" s="2"/>
      <c r="F118" t="s">
        <v>316</v>
      </c>
      <c r="G118" s="2">
        <f t="shared" si="2"/>
        <v>13310.78957872498</v>
      </c>
    </row>
    <row r="119" spans="1:7" x14ac:dyDescent="0.25">
      <c r="A119">
        <v>16</v>
      </c>
      <c r="B119" s="278">
        <v>49856</v>
      </c>
      <c r="E119" s="2"/>
      <c r="F119" t="s">
        <v>317</v>
      </c>
      <c r="G119" s="2">
        <f t="shared" si="2"/>
        <v>13710.11326608673</v>
      </c>
    </row>
    <row r="120" spans="1:7" x14ac:dyDescent="0.25">
      <c r="A120">
        <v>17</v>
      </c>
      <c r="B120" s="278">
        <v>50221</v>
      </c>
      <c r="E120" s="2"/>
      <c r="F120" t="s">
        <v>318</v>
      </c>
      <c r="G120" s="2">
        <f t="shared" si="2"/>
        <v>14121.416664069331</v>
      </c>
    </row>
    <row r="121" spans="1:7" x14ac:dyDescent="0.25">
      <c r="A121">
        <v>18</v>
      </c>
      <c r="B121" s="278">
        <v>50586</v>
      </c>
      <c r="E121" s="2"/>
      <c r="F121" t="s">
        <v>319</v>
      </c>
      <c r="G121" s="2">
        <f t="shared" si="2"/>
        <v>14545.059163991411</v>
      </c>
    </row>
    <row r="122" spans="1:7" x14ac:dyDescent="0.25">
      <c r="A122">
        <v>19</v>
      </c>
      <c r="B122" s="278">
        <v>50951</v>
      </c>
      <c r="E122" s="2"/>
      <c r="F122" t="s">
        <v>320</v>
      </c>
      <c r="G122" s="2">
        <f t="shared" si="2"/>
        <v>14981.410938911153</v>
      </c>
    </row>
    <row r="123" spans="1:7" x14ac:dyDescent="0.25">
      <c r="A123">
        <v>20</v>
      </c>
      <c r="B123" s="278">
        <v>51317</v>
      </c>
      <c r="E123" s="2"/>
      <c r="F123" t="s">
        <v>321</v>
      </c>
      <c r="G123" s="2">
        <f t="shared" si="2"/>
        <v>15430.853267078488</v>
      </c>
    </row>
    <row r="124" spans="1:7" x14ac:dyDescent="0.25">
      <c r="A124">
        <v>21</v>
      </c>
      <c r="B124" s="278">
        <v>51682</v>
      </c>
      <c r="E124" s="2"/>
      <c r="F124" t="s">
        <v>322</v>
      </c>
      <c r="G124" s="2">
        <f t="shared" si="2"/>
        <v>15893.778865090842</v>
      </c>
    </row>
    <row r="125" spans="1:7" x14ac:dyDescent="0.25">
      <c r="A125">
        <v>22</v>
      </c>
      <c r="B125" s="278">
        <v>52047</v>
      </c>
      <c r="E125" s="2"/>
      <c r="F125" t="s">
        <v>323</v>
      </c>
      <c r="G125" s="2">
        <f t="shared" si="2"/>
        <v>16370.592231043567</v>
      </c>
    </row>
    <row r="126" spans="1:7" x14ac:dyDescent="0.25">
      <c r="A126">
        <v>23</v>
      </c>
      <c r="B126" s="278">
        <v>52412</v>
      </c>
      <c r="E126" s="2"/>
      <c r="F126" t="s">
        <v>324</v>
      </c>
      <c r="G126" s="2">
        <f t="shared" si="2"/>
        <v>16861.709997974875</v>
      </c>
    </row>
    <row r="127" spans="1:7" ht="15" customHeight="1" x14ac:dyDescent="0.25">
      <c r="A127">
        <v>24</v>
      </c>
      <c r="B127" s="278">
        <v>52778</v>
      </c>
      <c r="E127" s="2"/>
      <c r="F127" t="s">
        <v>325</v>
      </c>
      <c r="G127" s="2">
        <f t="shared" si="2"/>
        <v>17367.561297914122</v>
      </c>
    </row>
    <row r="128" spans="1:7" x14ac:dyDescent="0.25">
      <c r="A128">
        <v>25</v>
      </c>
      <c r="B128" s="278">
        <v>53143</v>
      </c>
      <c r="E128" s="2"/>
      <c r="F128" t="s">
        <v>326</v>
      </c>
      <c r="G128" s="2">
        <f t="shared" si="2"/>
        <v>17888.588136851547</v>
      </c>
    </row>
    <row r="129" spans="1:7" x14ac:dyDescent="0.25">
      <c r="B129" s="278"/>
      <c r="E129" s="2"/>
      <c r="G129" s="2"/>
    </row>
    <row r="130" spans="1:7" x14ac:dyDescent="0.25">
      <c r="B130" s="278"/>
      <c r="E130" s="2"/>
      <c r="G130" s="2"/>
    </row>
    <row r="131" spans="1:7" x14ac:dyDescent="0.25">
      <c r="B131" s="278"/>
      <c r="E131" s="2"/>
      <c r="G131" s="2"/>
    </row>
    <row r="132" spans="1:7" x14ac:dyDescent="0.25">
      <c r="B132" s="278"/>
      <c r="E132" s="2"/>
      <c r="G132" s="2"/>
    </row>
    <row r="133" spans="1:7" x14ac:dyDescent="0.25">
      <c r="B133" s="278"/>
      <c r="E133" s="2"/>
      <c r="G133" s="2"/>
    </row>
    <row r="134" spans="1:7" x14ac:dyDescent="0.25">
      <c r="B134" s="278"/>
      <c r="E134" s="2"/>
      <c r="G134" s="2"/>
    </row>
    <row r="135" spans="1:7" x14ac:dyDescent="0.25">
      <c r="B135" s="278"/>
      <c r="E135" s="2"/>
      <c r="G135" s="2"/>
    </row>
    <row r="137" spans="1:7" x14ac:dyDescent="0.25">
      <c r="C137" s="7" t="s">
        <v>332</v>
      </c>
      <c r="D137">
        <v>300</v>
      </c>
    </row>
    <row r="138" spans="1:7" x14ac:dyDescent="0.25">
      <c r="C138" t="s">
        <v>302</v>
      </c>
    </row>
    <row r="139" spans="1:7" ht="15.75" thickBot="1" x14ac:dyDescent="0.3">
      <c r="A139">
        <v>1</v>
      </c>
      <c r="C139" t="s">
        <v>194</v>
      </c>
      <c r="D139" s="294">
        <f t="shared" ref="D139:D163" si="3">G104</f>
        <v>8800</v>
      </c>
      <c r="E139" s="2"/>
    </row>
    <row r="140" spans="1:7" ht="15.75" thickTop="1" x14ac:dyDescent="0.25">
      <c r="A140">
        <v>2</v>
      </c>
      <c r="C140" t="s">
        <v>303</v>
      </c>
      <c r="D140" s="2">
        <f t="shared" si="3"/>
        <v>9064</v>
      </c>
    </row>
    <row r="141" spans="1:7" x14ac:dyDescent="0.25">
      <c r="A141">
        <v>3</v>
      </c>
      <c r="C141" t="s">
        <v>304</v>
      </c>
      <c r="D141" s="2">
        <f t="shared" si="3"/>
        <v>9335.92</v>
      </c>
    </row>
    <row r="142" spans="1:7" x14ac:dyDescent="0.25">
      <c r="A142">
        <v>4</v>
      </c>
      <c r="C142" t="s">
        <v>305</v>
      </c>
      <c r="D142" s="2">
        <f t="shared" si="3"/>
        <v>9615.9976000000006</v>
      </c>
    </row>
    <row r="143" spans="1:7" x14ac:dyDescent="0.25">
      <c r="A143">
        <v>5</v>
      </c>
      <c r="C143" t="s">
        <v>306</v>
      </c>
      <c r="D143" s="2">
        <f t="shared" si="3"/>
        <v>9904.4775280000013</v>
      </c>
    </row>
    <row r="144" spans="1:7" x14ac:dyDescent="0.25">
      <c r="A144">
        <v>6</v>
      </c>
      <c r="C144" t="s">
        <v>307</v>
      </c>
      <c r="D144" s="2">
        <f t="shared" si="3"/>
        <v>10201.611853840001</v>
      </c>
    </row>
    <row r="145" spans="1:4" x14ac:dyDescent="0.25">
      <c r="A145">
        <v>7</v>
      </c>
      <c r="C145" t="s">
        <v>308</v>
      </c>
      <c r="D145" s="2">
        <f t="shared" si="3"/>
        <v>10507.6602094552</v>
      </c>
    </row>
    <row r="146" spans="1:4" x14ac:dyDescent="0.25">
      <c r="A146">
        <v>8</v>
      </c>
      <c r="C146" t="s">
        <v>309</v>
      </c>
      <c r="D146" s="2">
        <f t="shared" si="3"/>
        <v>10822.890015738856</v>
      </c>
    </row>
    <row r="147" spans="1:4" x14ac:dyDescent="0.25">
      <c r="A147">
        <v>9</v>
      </c>
      <c r="C147" t="s">
        <v>310</v>
      </c>
      <c r="D147" s="2">
        <f t="shared" si="3"/>
        <v>11147.576716211022</v>
      </c>
    </row>
    <row r="148" spans="1:4" x14ac:dyDescent="0.25">
      <c r="A148">
        <v>10</v>
      </c>
      <c r="C148" t="s">
        <v>311</v>
      </c>
      <c r="D148" s="2">
        <f t="shared" si="3"/>
        <v>11482.004017697353</v>
      </c>
    </row>
    <row r="149" spans="1:4" x14ac:dyDescent="0.25">
      <c r="A149">
        <v>11</v>
      </c>
      <c r="C149" t="s">
        <v>312</v>
      </c>
      <c r="D149" s="2">
        <f t="shared" si="3"/>
        <v>11826.464138228273</v>
      </c>
    </row>
    <row r="150" spans="1:4" x14ac:dyDescent="0.25">
      <c r="A150">
        <v>12</v>
      </c>
      <c r="C150" t="s">
        <v>313</v>
      </c>
      <c r="D150" s="2">
        <f t="shared" si="3"/>
        <v>12181.258062375122</v>
      </c>
    </row>
    <row r="151" spans="1:4" x14ac:dyDescent="0.25">
      <c r="A151">
        <v>13</v>
      </c>
      <c r="C151" t="s">
        <v>314</v>
      </c>
      <c r="D151" s="2">
        <f t="shared" si="3"/>
        <v>12546.695804246376</v>
      </c>
    </row>
    <row r="152" spans="1:4" x14ac:dyDescent="0.25">
      <c r="A152">
        <v>14</v>
      </c>
      <c r="C152" t="s">
        <v>315</v>
      </c>
      <c r="D152" s="2">
        <f t="shared" si="3"/>
        <v>12923.096678373768</v>
      </c>
    </row>
    <row r="153" spans="1:4" x14ac:dyDescent="0.25">
      <c r="A153">
        <v>15</v>
      </c>
      <c r="C153" t="s">
        <v>316</v>
      </c>
      <c r="D153" s="2">
        <f t="shared" si="3"/>
        <v>13310.78957872498</v>
      </c>
    </row>
    <row r="154" spans="1:4" x14ac:dyDescent="0.25">
      <c r="A154">
        <v>16</v>
      </c>
      <c r="C154" t="s">
        <v>317</v>
      </c>
      <c r="D154" s="2">
        <f t="shared" si="3"/>
        <v>13710.11326608673</v>
      </c>
    </row>
    <row r="155" spans="1:4" x14ac:dyDescent="0.25">
      <c r="A155">
        <v>17</v>
      </c>
      <c r="C155" t="s">
        <v>318</v>
      </c>
      <c r="D155" s="2">
        <f t="shared" si="3"/>
        <v>14121.416664069331</v>
      </c>
    </row>
    <row r="156" spans="1:4" x14ac:dyDescent="0.25">
      <c r="A156">
        <v>18</v>
      </c>
      <c r="C156" t="s">
        <v>319</v>
      </c>
      <c r="D156" s="2">
        <f t="shared" si="3"/>
        <v>14545.059163991411</v>
      </c>
    </row>
    <row r="157" spans="1:4" x14ac:dyDescent="0.25">
      <c r="A157">
        <v>19</v>
      </c>
      <c r="C157" t="s">
        <v>320</v>
      </c>
      <c r="D157" s="2">
        <f t="shared" si="3"/>
        <v>14981.410938911153</v>
      </c>
    </row>
    <row r="158" spans="1:4" x14ac:dyDescent="0.25">
      <c r="A158">
        <v>20</v>
      </c>
      <c r="C158" t="s">
        <v>321</v>
      </c>
      <c r="D158" s="2">
        <f t="shared" si="3"/>
        <v>15430.853267078488</v>
      </c>
    </row>
    <row r="159" spans="1:4" x14ac:dyDescent="0.25">
      <c r="A159">
        <v>21</v>
      </c>
      <c r="C159" t="s">
        <v>322</v>
      </c>
      <c r="D159" s="2">
        <f t="shared" si="3"/>
        <v>15893.778865090842</v>
      </c>
    </row>
    <row r="160" spans="1:4" x14ac:dyDescent="0.25">
      <c r="A160">
        <v>22</v>
      </c>
      <c r="C160" t="s">
        <v>323</v>
      </c>
      <c r="D160" s="2">
        <f t="shared" si="3"/>
        <v>16370.592231043567</v>
      </c>
    </row>
    <row r="161" spans="1:5" x14ac:dyDescent="0.25">
      <c r="A161">
        <v>23</v>
      </c>
      <c r="C161" t="s">
        <v>324</v>
      </c>
      <c r="D161" s="2">
        <f t="shared" si="3"/>
        <v>16861.709997974875</v>
      </c>
    </row>
    <row r="162" spans="1:5" x14ac:dyDescent="0.25">
      <c r="A162">
        <v>24</v>
      </c>
      <c r="C162" t="s">
        <v>325</v>
      </c>
      <c r="D162" s="2">
        <f t="shared" si="3"/>
        <v>17367.561297914122</v>
      </c>
    </row>
    <row r="163" spans="1:5" x14ac:dyDescent="0.25">
      <c r="A163">
        <v>25</v>
      </c>
      <c r="C163" t="s">
        <v>326</v>
      </c>
      <c r="D163" s="2">
        <f t="shared" si="3"/>
        <v>17888.588136851547</v>
      </c>
    </row>
    <row r="171" spans="1:5" x14ac:dyDescent="0.25">
      <c r="B171" s="225" t="s">
        <v>333</v>
      </c>
      <c r="C171" s="286" t="s">
        <v>334</v>
      </c>
      <c r="E171" t="s">
        <v>331</v>
      </c>
    </row>
    <row r="172" spans="1:5" x14ac:dyDescent="0.25">
      <c r="A172" t="s">
        <v>365</v>
      </c>
      <c r="B172" s="12" t="s">
        <v>358</v>
      </c>
      <c r="E172" s="1">
        <v>20000</v>
      </c>
    </row>
    <row r="173" spans="1:5" x14ac:dyDescent="0.25">
      <c r="A173" t="s">
        <v>363</v>
      </c>
      <c r="B173" s="12" t="s">
        <v>358</v>
      </c>
      <c r="E173" s="1">
        <v>25000</v>
      </c>
    </row>
    <row r="174" spans="1:5" x14ac:dyDescent="0.25">
      <c r="A174" t="s">
        <v>362</v>
      </c>
      <c r="B174" s="12" t="s">
        <v>358</v>
      </c>
      <c r="E174" s="1">
        <v>80000</v>
      </c>
    </row>
    <row r="175" spans="1:5" x14ac:dyDescent="0.25">
      <c r="A175" t="s">
        <v>361</v>
      </c>
      <c r="B175" s="12" t="s">
        <v>358</v>
      </c>
      <c r="E175" s="1"/>
    </row>
    <row r="176" spans="1:5" x14ac:dyDescent="0.25">
      <c r="A176" t="s">
        <v>365</v>
      </c>
      <c r="B176" s="12" t="s">
        <v>357</v>
      </c>
      <c r="E176" s="1">
        <v>20000</v>
      </c>
    </row>
    <row r="177" spans="1:5" x14ac:dyDescent="0.25">
      <c r="A177" t="s">
        <v>363</v>
      </c>
      <c r="B177" s="12" t="s">
        <v>357</v>
      </c>
      <c r="E177" s="1">
        <v>10000</v>
      </c>
    </row>
    <row r="178" spans="1:5" x14ac:dyDescent="0.25">
      <c r="A178" t="s">
        <v>362</v>
      </c>
      <c r="B178" s="12" t="s">
        <v>357</v>
      </c>
      <c r="E178" s="1">
        <v>65000</v>
      </c>
    </row>
    <row r="179" spans="1:5" x14ac:dyDescent="0.25">
      <c r="A179" t="s">
        <v>361</v>
      </c>
      <c r="B179" s="12" t="s">
        <v>357</v>
      </c>
    </row>
    <row r="180" spans="1:5" x14ac:dyDescent="0.25">
      <c r="A180" t="s">
        <v>365</v>
      </c>
      <c r="B180" s="259" t="s">
        <v>335</v>
      </c>
    </row>
    <row r="181" spans="1:5" x14ac:dyDescent="0.25">
      <c r="A181" t="s">
        <v>363</v>
      </c>
      <c r="B181" s="259" t="s">
        <v>335</v>
      </c>
    </row>
    <row r="182" spans="1:5" x14ac:dyDescent="0.25">
      <c r="A182" t="s">
        <v>362</v>
      </c>
      <c r="B182" s="259" t="s">
        <v>335</v>
      </c>
    </row>
    <row r="183" spans="1:5" x14ac:dyDescent="0.25">
      <c r="A183" t="s">
        <v>361</v>
      </c>
      <c r="B183" s="259" t="s">
        <v>335</v>
      </c>
      <c r="E183" s="1"/>
    </row>
    <row r="184" spans="1:5" x14ac:dyDescent="0.25">
      <c r="A184" t="s">
        <v>365</v>
      </c>
      <c r="B184" s="286" t="s">
        <v>364</v>
      </c>
    </row>
    <row r="185" spans="1:5" x14ac:dyDescent="0.25">
      <c r="A185" t="s">
        <v>363</v>
      </c>
    </row>
    <row r="186" spans="1:5" x14ac:dyDescent="0.25">
      <c r="A186" t="s">
        <v>362</v>
      </c>
    </row>
    <row r="187" spans="1:5" x14ac:dyDescent="0.25">
      <c r="A187" t="s">
        <v>361</v>
      </c>
    </row>
    <row r="191" spans="1:5" x14ac:dyDescent="0.25">
      <c r="D191" s="251" t="s">
        <v>4</v>
      </c>
      <c r="E191" s="1">
        <f>SUM(E172:E190)</f>
        <v>220000</v>
      </c>
    </row>
  </sheetData>
  <pageMargins left="0.7" right="0.7" top="0.75" bottom="0.75" header="0.3" footer="0.3"/>
  <pageSetup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82"/>
  <sheetViews>
    <sheetView topLeftCell="A40" workbookViewId="0">
      <selection activeCell="H37" sqref="H37"/>
    </sheetView>
  </sheetViews>
  <sheetFormatPr defaultRowHeight="15" x14ac:dyDescent="0.25"/>
  <cols>
    <col min="2" max="2" width="24.42578125" customWidth="1"/>
    <col min="3" max="3" width="21.7109375" customWidth="1"/>
    <col min="4" max="4" width="14.7109375" customWidth="1"/>
    <col min="5" max="5" width="16" customWidth="1"/>
    <col min="7" max="7" width="14.140625" customWidth="1"/>
    <col min="8" max="8" width="9.140625" customWidth="1"/>
  </cols>
  <sheetData>
    <row r="1" spans="1:8" ht="18.75" x14ac:dyDescent="0.3">
      <c r="A1" s="36"/>
      <c r="B1" s="36"/>
      <c r="C1" s="120" t="s">
        <v>327</v>
      </c>
      <c r="D1" s="36"/>
      <c r="E1" s="36"/>
      <c r="F1" s="36"/>
      <c r="G1" s="36"/>
    </row>
    <row r="2" spans="1:8" ht="18.75" x14ac:dyDescent="0.3">
      <c r="A2" s="275" t="s">
        <v>328</v>
      </c>
      <c r="B2" s="43"/>
      <c r="C2" s="111"/>
      <c r="D2" s="43"/>
      <c r="E2" s="43"/>
      <c r="F2" s="43"/>
      <c r="G2" s="43"/>
    </row>
    <row r="3" spans="1:8" ht="15.75" x14ac:dyDescent="0.25">
      <c r="A3" s="43" t="s">
        <v>329</v>
      </c>
      <c r="B3" s="43"/>
      <c r="C3" s="127"/>
      <c r="D3" s="109" t="s">
        <v>330</v>
      </c>
      <c r="E3" s="43" t="s">
        <v>331</v>
      </c>
      <c r="F3" s="43" t="s">
        <v>302</v>
      </c>
      <c r="G3" s="43"/>
    </row>
    <row r="4" spans="1:8" x14ac:dyDescent="0.25">
      <c r="A4" s="43">
        <v>1</v>
      </c>
      <c r="B4" s="276">
        <v>44377</v>
      </c>
      <c r="C4" s="43"/>
      <c r="D4" s="43"/>
      <c r="E4" s="107">
        <f>E82</f>
        <v>165000</v>
      </c>
      <c r="F4" s="43" t="s">
        <v>194</v>
      </c>
      <c r="G4" s="107">
        <f>E4/25</f>
        <v>6600</v>
      </c>
      <c r="H4" s="2"/>
    </row>
    <row r="5" spans="1:8" x14ac:dyDescent="0.25">
      <c r="A5" s="43">
        <v>2</v>
      </c>
      <c r="B5" s="276">
        <v>44742</v>
      </c>
      <c r="C5" s="43"/>
      <c r="D5" s="43"/>
      <c r="E5" s="107"/>
      <c r="F5" s="43" t="s">
        <v>303</v>
      </c>
      <c r="G5" s="107">
        <f>G4*0.03 + G4</f>
        <v>6798</v>
      </c>
    </row>
    <row r="6" spans="1:8" x14ac:dyDescent="0.25">
      <c r="A6" s="43">
        <v>3</v>
      </c>
      <c r="B6" s="276">
        <v>45107</v>
      </c>
      <c r="C6" s="43"/>
      <c r="D6" s="43"/>
      <c r="E6" s="107"/>
      <c r="F6" s="43" t="s">
        <v>304</v>
      </c>
      <c r="G6" s="107">
        <f t="shared" ref="G6:G28" si="0">G5*0.03+G5</f>
        <v>7001.94</v>
      </c>
      <c r="H6" s="277"/>
    </row>
    <row r="7" spans="1:8" x14ac:dyDescent="0.25">
      <c r="A7" s="43">
        <v>4</v>
      </c>
      <c r="B7" s="276">
        <v>45473</v>
      </c>
      <c r="C7" s="43"/>
      <c r="D7" s="43"/>
      <c r="E7" s="107"/>
      <c r="F7" s="43" t="s">
        <v>305</v>
      </c>
      <c r="G7" s="107">
        <f t="shared" si="0"/>
        <v>7211.9982</v>
      </c>
    </row>
    <row r="8" spans="1:8" x14ac:dyDescent="0.25">
      <c r="A8" s="43">
        <v>5</v>
      </c>
      <c r="B8" s="276">
        <v>45838</v>
      </c>
      <c r="C8" s="43"/>
      <c r="D8" s="43"/>
      <c r="E8" s="107"/>
      <c r="F8" s="43" t="s">
        <v>306</v>
      </c>
      <c r="G8" s="107">
        <f t="shared" si="0"/>
        <v>7428.3581459999996</v>
      </c>
    </row>
    <row r="9" spans="1:8" x14ac:dyDescent="0.25">
      <c r="A9" s="43">
        <v>6</v>
      </c>
      <c r="B9" s="276">
        <v>46203</v>
      </c>
      <c r="C9" s="43"/>
      <c r="D9" s="43"/>
      <c r="E9" s="107"/>
      <c r="F9" s="43" t="s">
        <v>307</v>
      </c>
      <c r="G9" s="107">
        <f t="shared" si="0"/>
        <v>7651.2088903799995</v>
      </c>
      <c r="H9" s="2"/>
    </row>
    <row r="10" spans="1:8" x14ac:dyDescent="0.25">
      <c r="A10" s="43">
        <v>7</v>
      </c>
      <c r="B10" s="276">
        <v>46568</v>
      </c>
      <c r="C10" s="43"/>
      <c r="D10" s="43"/>
      <c r="E10" s="107"/>
      <c r="F10" s="43" t="s">
        <v>308</v>
      </c>
      <c r="G10" s="107">
        <f t="shared" si="0"/>
        <v>7880.7451570913991</v>
      </c>
    </row>
    <row r="11" spans="1:8" x14ac:dyDescent="0.25">
      <c r="A11" s="43">
        <v>8</v>
      </c>
      <c r="B11" s="276">
        <v>46934</v>
      </c>
      <c r="C11" s="43"/>
      <c r="D11" s="43"/>
      <c r="E11" s="107"/>
      <c r="F11" s="43" t="s">
        <v>309</v>
      </c>
      <c r="G11" s="107">
        <f t="shared" si="0"/>
        <v>8117.1675118041412</v>
      </c>
    </row>
    <row r="12" spans="1:8" x14ac:dyDescent="0.25">
      <c r="A12" s="43">
        <v>9</v>
      </c>
      <c r="B12" s="276">
        <v>47299</v>
      </c>
      <c r="C12" s="43"/>
      <c r="D12" s="43"/>
      <c r="E12" s="107"/>
      <c r="F12" s="43" t="s">
        <v>310</v>
      </c>
      <c r="G12" s="107">
        <f t="shared" si="0"/>
        <v>8360.6825371582654</v>
      </c>
    </row>
    <row r="13" spans="1:8" x14ac:dyDescent="0.25">
      <c r="A13" s="43">
        <v>10</v>
      </c>
      <c r="B13" s="276">
        <v>47664</v>
      </c>
      <c r="C13" s="43"/>
      <c r="D13" s="43"/>
      <c r="E13" s="107"/>
      <c r="F13" s="43" t="s">
        <v>311</v>
      </c>
      <c r="G13" s="107">
        <f t="shared" si="0"/>
        <v>8611.5030132730135</v>
      </c>
    </row>
    <row r="14" spans="1:8" x14ac:dyDescent="0.25">
      <c r="A14" s="43">
        <v>11</v>
      </c>
      <c r="B14" s="276">
        <v>48029</v>
      </c>
      <c r="C14" s="43"/>
      <c r="D14" s="43"/>
      <c r="E14" s="107"/>
      <c r="F14" s="43" t="s">
        <v>312</v>
      </c>
      <c r="G14" s="107">
        <f t="shared" si="0"/>
        <v>8869.8481036712037</v>
      </c>
    </row>
    <row r="15" spans="1:8" x14ac:dyDescent="0.25">
      <c r="A15" s="43">
        <v>12</v>
      </c>
      <c r="B15" s="276">
        <v>48395</v>
      </c>
      <c r="C15" s="43"/>
      <c r="D15" s="43"/>
      <c r="E15" s="107"/>
      <c r="F15" s="43" t="s">
        <v>313</v>
      </c>
      <c r="G15" s="107">
        <f t="shared" si="0"/>
        <v>9135.94354678134</v>
      </c>
    </row>
    <row r="16" spans="1:8" x14ac:dyDescent="0.25">
      <c r="A16" s="43">
        <v>13</v>
      </c>
      <c r="B16" s="276">
        <v>48760</v>
      </c>
      <c r="C16" s="43"/>
      <c r="D16" s="43"/>
      <c r="E16" s="107"/>
      <c r="F16" s="43" t="s">
        <v>314</v>
      </c>
      <c r="G16" s="107">
        <f t="shared" si="0"/>
        <v>9410.0218531847804</v>
      </c>
    </row>
    <row r="17" spans="1:7" x14ac:dyDescent="0.25">
      <c r="A17" s="43">
        <v>14</v>
      </c>
      <c r="B17" s="276">
        <v>49125</v>
      </c>
      <c r="C17" s="43"/>
      <c r="D17" s="43"/>
      <c r="E17" s="107"/>
      <c r="F17" s="43" t="s">
        <v>315</v>
      </c>
      <c r="G17" s="107">
        <f t="shared" si="0"/>
        <v>9692.3225087803239</v>
      </c>
    </row>
    <row r="18" spans="1:7" x14ac:dyDescent="0.25">
      <c r="A18" s="43">
        <v>15</v>
      </c>
      <c r="B18" s="276">
        <v>49490</v>
      </c>
      <c r="C18" s="43"/>
      <c r="D18" s="43"/>
      <c r="E18" s="107"/>
      <c r="F18" s="43" t="s">
        <v>316</v>
      </c>
      <c r="G18" s="107">
        <f t="shared" si="0"/>
        <v>9983.0921840437331</v>
      </c>
    </row>
    <row r="19" spans="1:7" x14ac:dyDescent="0.25">
      <c r="A19" s="43">
        <v>16</v>
      </c>
      <c r="B19" s="276">
        <v>49856</v>
      </c>
      <c r="C19" s="43"/>
      <c r="D19" s="43"/>
      <c r="E19" s="107"/>
      <c r="F19" s="43" t="s">
        <v>317</v>
      </c>
      <c r="G19" s="107">
        <f t="shared" si="0"/>
        <v>10282.584949565045</v>
      </c>
    </row>
    <row r="20" spans="1:7" x14ac:dyDescent="0.25">
      <c r="A20" s="43">
        <v>17</v>
      </c>
      <c r="B20" s="276">
        <v>50221</v>
      </c>
      <c r="C20" s="43"/>
      <c r="D20" s="43"/>
      <c r="E20" s="107"/>
      <c r="F20" s="43" t="s">
        <v>318</v>
      </c>
      <c r="G20" s="107">
        <f t="shared" si="0"/>
        <v>10591.062498051997</v>
      </c>
    </row>
    <row r="21" spans="1:7" x14ac:dyDescent="0.25">
      <c r="A21" s="43">
        <v>18</v>
      </c>
      <c r="B21" s="276">
        <v>50586</v>
      </c>
      <c r="C21" s="43"/>
      <c r="D21" s="43"/>
      <c r="E21" s="107"/>
      <c r="F21" s="43" t="s">
        <v>319</v>
      </c>
      <c r="G21" s="107">
        <f t="shared" si="0"/>
        <v>10908.794372993558</v>
      </c>
    </row>
    <row r="22" spans="1:7" x14ac:dyDescent="0.25">
      <c r="A22" s="43">
        <v>19</v>
      </c>
      <c r="B22" s="276">
        <v>50951</v>
      </c>
      <c r="C22" s="43"/>
      <c r="D22" s="43"/>
      <c r="E22" s="107"/>
      <c r="F22" s="43" t="s">
        <v>320</v>
      </c>
      <c r="G22" s="107">
        <f t="shared" si="0"/>
        <v>11236.058204183364</v>
      </c>
    </row>
    <row r="23" spans="1:7" x14ac:dyDescent="0.25">
      <c r="A23" s="43">
        <v>20</v>
      </c>
      <c r="B23" s="276">
        <v>51317</v>
      </c>
      <c r="C23" s="43"/>
      <c r="D23" s="43"/>
      <c r="E23" s="107"/>
      <c r="F23" s="43" t="s">
        <v>321</v>
      </c>
      <c r="G23" s="107">
        <f t="shared" si="0"/>
        <v>11573.139950308865</v>
      </c>
    </row>
    <row r="24" spans="1:7" x14ac:dyDescent="0.25">
      <c r="A24" s="43">
        <v>21</v>
      </c>
      <c r="B24" s="276">
        <v>51682</v>
      </c>
      <c r="C24" s="43"/>
      <c r="D24" s="43"/>
      <c r="E24" s="107"/>
      <c r="F24" s="43" t="s">
        <v>322</v>
      </c>
      <c r="G24" s="107">
        <f t="shared" si="0"/>
        <v>11920.33414881813</v>
      </c>
    </row>
    <row r="25" spans="1:7" x14ac:dyDescent="0.25">
      <c r="A25" s="43">
        <v>22</v>
      </c>
      <c r="B25" s="276">
        <v>52047</v>
      </c>
      <c r="C25" s="43"/>
      <c r="D25" s="43"/>
      <c r="E25" s="107"/>
      <c r="F25" s="43" t="s">
        <v>323</v>
      </c>
      <c r="G25" s="107">
        <f t="shared" si="0"/>
        <v>12277.944173282674</v>
      </c>
    </row>
    <row r="26" spans="1:7" x14ac:dyDescent="0.25">
      <c r="A26" s="43">
        <v>23</v>
      </c>
      <c r="B26" s="276">
        <v>52412</v>
      </c>
      <c r="C26" s="43"/>
      <c r="D26" s="43"/>
      <c r="E26" s="107"/>
      <c r="F26" s="43" t="s">
        <v>324</v>
      </c>
      <c r="G26" s="107">
        <f t="shared" si="0"/>
        <v>12646.282498481154</v>
      </c>
    </row>
    <row r="27" spans="1:7" ht="15" customHeight="1" x14ac:dyDescent="0.25">
      <c r="A27" s="43">
        <v>24</v>
      </c>
      <c r="B27" s="276">
        <v>52778</v>
      </c>
      <c r="C27" s="43"/>
      <c r="D27" s="43"/>
      <c r="E27" s="107"/>
      <c r="F27" s="43" t="s">
        <v>325</v>
      </c>
      <c r="G27" s="107">
        <f t="shared" si="0"/>
        <v>13025.670973435588</v>
      </c>
    </row>
    <row r="28" spans="1:7" x14ac:dyDescent="0.25">
      <c r="A28" s="43">
        <v>25</v>
      </c>
      <c r="B28" s="276">
        <v>53143</v>
      </c>
      <c r="C28" s="43"/>
      <c r="D28" s="43"/>
      <c r="E28" s="107"/>
      <c r="F28" s="43" t="s">
        <v>326</v>
      </c>
      <c r="G28" s="107">
        <f t="shared" si="0"/>
        <v>13416.441102638655</v>
      </c>
    </row>
    <row r="29" spans="1:7" x14ac:dyDescent="0.25">
      <c r="B29" s="278"/>
      <c r="E29" s="2"/>
      <c r="G29" s="2"/>
    </row>
    <row r="30" spans="1:7" x14ac:dyDescent="0.25">
      <c r="B30" s="278"/>
      <c r="E30" s="2"/>
      <c r="G30" s="2"/>
    </row>
    <row r="31" spans="1:7" x14ac:dyDescent="0.25">
      <c r="B31" s="278"/>
      <c r="E31" s="2"/>
      <c r="G31" s="2"/>
    </row>
    <row r="32" spans="1:7" x14ac:dyDescent="0.25">
      <c r="B32" s="278"/>
      <c r="E32" s="2"/>
      <c r="G32" s="2"/>
    </row>
    <row r="33" spans="1:7" x14ac:dyDescent="0.25">
      <c r="B33" s="278"/>
      <c r="E33" s="2"/>
      <c r="G33" s="2"/>
    </row>
    <row r="34" spans="1:7" x14ac:dyDescent="0.25">
      <c r="B34" s="278"/>
      <c r="E34" s="2"/>
      <c r="G34" s="2"/>
    </row>
    <row r="36" spans="1:7" x14ac:dyDescent="0.25">
      <c r="A36" s="43"/>
      <c r="B36" s="43"/>
      <c r="C36" s="137" t="s">
        <v>332</v>
      </c>
      <c r="D36" s="43">
        <v>400</v>
      </c>
    </row>
    <row r="37" spans="1:7" x14ac:dyDescent="0.25">
      <c r="A37" s="46"/>
      <c r="B37" s="46"/>
      <c r="C37" s="46" t="s">
        <v>302</v>
      </c>
      <c r="D37" s="46"/>
    </row>
    <row r="38" spans="1:7" x14ac:dyDescent="0.25">
      <c r="A38" s="46">
        <v>1</v>
      </c>
      <c r="B38" s="46"/>
      <c r="C38" s="46" t="s">
        <v>194</v>
      </c>
      <c r="D38" s="279">
        <f t="shared" ref="D38:D62" si="1">G4</f>
        <v>6600</v>
      </c>
      <c r="E38" s="2"/>
    </row>
    <row r="39" spans="1:7" x14ac:dyDescent="0.25">
      <c r="A39" s="46">
        <v>2</v>
      </c>
      <c r="B39" s="46"/>
      <c r="C39" s="46" t="s">
        <v>303</v>
      </c>
      <c r="D39" s="279">
        <f t="shared" si="1"/>
        <v>6798</v>
      </c>
    </row>
    <row r="40" spans="1:7" x14ac:dyDescent="0.25">
      <c r="A40" s="46">
        <v>3</v>
      </c>
      <c r="B40" s="46"/>
      <c r="C40" s="46" t="s">
        <v>304</v>
      </c>
      <c r="D40" s="279">
        <f t="shared" si="1"/>
        <v>7001.94</v>
      </c>
    </row>
    <row r="41" spans="1:7" x14ac:dyDescent="0.25">
      <c r="A41" s="46">
        <v>4</v>
      </c>
      <c r="B41" s="46"/>
      <c r="C41" s="46" t="s">
        <v>305</v>
      </c>
      <c r="D41" s="279">
        <f t="shared" si="1"/>
        <v>7211.9982</v>
      </c>
    </row>
    <row r="42" spans="1:7" x14ac:dyDescent="0.25">
      <c r="A42" s="46">
        <v>5</v>
      </c>
      <c r="B42" s="46"/>
      <c r="C42" s="46" t="s">
        <v>306</v>
      </c>
      <c r="D42" s="279">
        <f t="shared" si="1"/>
        <v>7428.3581459999996</v>
      </c>
    </row>
    <row r="43" spans="1:7" x14ac:dyDescent="0.25">
      <c r="A43" s="46">
        <v>6</v>
      </c>
      <c r="B43" s="46"/>
      <c r="C43" s="46" t="s">
        <v>307</v>
      </c>
      <c r="D43" s="279">
        <f t="shared" si="1"/>
        <v>7651.2088903799995</v>
      </c>
    </row>
    <row r="44" spans="1:7" x14ac:dyDescent="0.25">
      <c r="A44" s="46">
        <v>7</v>
      </c>
      <c r="B44" s="46"/>
      <c r="C44" s="46" t="s">
        <v>308</v>
      </c>
      <c r="D44" s="279">
        <f t="shared" si="1"/>
        <v>7880.7451570913991</v>
      </c>
    </row>
    <row r="45" spans="1:7" x14ac:dyDescent="0.25">
      <c r="A45" s="46">
        <v>8</v>
      </c>
      <c r="B45" s="46"/>
      <c r="C45" s="46" t="s">
        <v>309</v>
      </c>
      <c r="D45" s="279">
        <f t="shared" si="1"/>
        <v>8117.1675118041412</v>
      </c>
    </row>
    <row r="46" spans="1:7" x14ac:dyDescent="0.25">
      <c r="A46" s="46">
        <v>9</v>
      </c>
      <c r="B46" s="46"/>
      <c r="C46" s="46" t="s">
        <v>310</v>
      </c>
      <c r="D46" s="279">
        <f t="shared" si="1"/>
        <v>8360.6825371582654</v>
      </c>
    </row>
    <row r="47" spans="1:7" x14ac:dyDescent="0.25">
      <c r="A47" s="46">
        <v>10</v>
      </c>
      <c r="B47" s="46"/>
      <c r="C47" s="46" t="s">
        <v>311</v>
      </c>
      <c r="D47" s="279">
        <f t="shared" si="1"/>
        <v>8611.5030132730135</v>
      </c>
    </row>
    <row r="48" spans="1:7" x14ac:dyDescent="0.25">
      <c r="A48" s="46">
        <v>11</v>
      </c>
      <c r="B48" s="46"/>
      <c r="C48" s="46" t="s">
        <v>312</v>
      </c>
      <c r="D48" s="279">
        <f t="shared" si="1"/>
        <v>8869.8481036712037</v>
      </c>
    </row>
    <row r="49" spans="1:4" x14ac:dyDescent="0.25">
      <c r="A49" s="46">
        <v>12</v>
      </c>
      <c r="B49" s="46"/>
      <c r="C49" s="46" t="s">
        <v>313</v>
      </c>
      <c r="D49" s="279">
        <f t="shared" si="1"/>
        <v>9135.94354678134</v>
      </c>
    </row>
    <row r="50" spans="1:4" x14ac:dyDescent="0.25">
      <c r="A50" s="46">
        <v>13</v>
      </c>
      <c r="B50" s="46"/>
      <c r="C50" s="46" t="s">
        <v>314</v>
      </c>
      <c r="D50" s="279">
        <f t="shared" si="1"/>
        <v>9410.0218531847804</v>
      </c>
    </row>
    <row r="51" spans="1:4" x14ac:dyDescent="0.25">
      <c r="A51" s="46">
        <v>14</v>
      </c>
      <c r="B51" s="46"/>
      <c r="C51" s="46" t="s">
        <v>315</v>
      </c>
      <c r="D51" s="279">
        <f t="shared" si="1"/>
        <v>9692.3225087803239</v>
      </c>
    </row>
    <row r="52" spans="1:4" x14ac:dyDescent="0.25">
      <c r="A52" s="46">
        <v>15</v>
      </c>
      <c r="B52" s="46"/>
      <c r="C52" s="46" t="s">
        <v>316</v>
      </c>
      <c r="D52" s="279">
        <f t="shared" si="1"/>
        <v>9983.0921840437331</v>
      </c>
    </row>
    <row r="53" spans="1:4" x14ac:dyDescent="0.25">
      <c r="A53" s="46">
        <v>16</v>
      </c>
      <c r="B53" s="46"/>
      <c r="C53" s="46" t="s">
        <v>317</v>
      </c>
      <c r="D53" s="279">
        <f t="shared" si="1"/>
        <v>10282.584949565045</v>
      </c>
    </row>
    <row r="54" spans="1:4" x14ac:dyDescent="0.25">
      <c r="A54" s="46">
        <v>17</v>
      </c>
      <c r="B54" s="46"/>
      <c r="C54" s="46" t="s">
        <v>318</v>
      </c>
      <c r="D54" s="279">
        <f t="shared" si="1"/>
        <v>10591.062498051997</v>
      </c>
    </row>
    <row r="55" spans="1:4" x14ac:dyDescent="0.25">
      <c r="A55" s="46">
        <v>18</v>
      </c>
      <c r="B55" s="46"/>
      <c r="C55" s="46" t="s">
        <v>319</v>
      </c>
      <c r="D55" s="279">
        <f t="shared" si="1"/>
        <v>10908.794372993558</v>
      </c>
    </row>
    <row r="56" spans="1:4" x14ac:dyDescent="0.25">
      <c r="A56" s="46">
        <v>19</v>
      </c>
      <c r="B56" s="46"/>
      <c r="C56" s="46" t="s">
        <v>320</v>
      </c>
      <c r="D56" s="279">
        <f t="shared" si="1"/>
        <v>11236.058204183364</v>
      </c>
    </row>
    <row r="57" spans="1:4" x14ac:dyDescent="0.25">
      <c r="A57" s="46">
        <v>20</v>
      </c>
      <c r="B57" s="46"/>
      <c r="C57" s="46" t="s">
        <v>321</v>
      </c>
      <c r="D57" s="279">
        <f t="shared" si="1"/>
        <v>11573.139950308865</v>
      </c>
    </row>
    <row r="58" spans="1:4" x14ac:dyDescent="0.25">
      <c r="A58" s="46">
        <v>21</v>
      </c>
      <c r="B58" s="46"/>
      <c r="C58" s="46" t="s">
        <v>322</v>
      </c>
      <c r="D58" s="279">
        <f t="shared" si="1"/>
        <v>11920.33414881813</v>
      </c>
    </row>
    <row r="59" spans="1:4" x14ac:dyDescent="0.25">
      <c r="A59" s="46">
        <v>22</v>
      </c>
      <c r="B59" s="46"/>
      <c r="C59" s="46" t="s">
        <v>323</v>
      </c>
      <c r="D59" s="279">
        <f t="shared" si="1"/>
        <v>12277.944173282674</v>
      </c>
    </row>
    <row r="60" spans="1:4" x14ac:dyDescent="0.25">
      <c r="A60" s="46">
        <v>23</v>
      </c>
      <c r="B60" s="46"/>
      <c r="C60" s="46" t="s">
        <v>324</v>
      </c>
      <c r="D60" s="279">
        <f t="shared" si="1"/>
        <v>12646.282498481154</v>
      </c>
    </row>
    <row r="61" spans="1:4" x14ac:dyDescent="0.25">
      <c r="A61" s="46">
        <v>24</v>
      </c>
      <c r="B61" s="46"/>
      <c r="C61" s="46" t="s">
        <v>325</v>
      </c>
      <c r="D61" s="279">
        <f t="shared" si="1"/>
        <v>13025.670973435588</v>
      </c>
    </row>
    <row r="62" spans="1:4" x14ac:dyDescent="0.25">
      <c r="A62" s="46">
        <v>25</v>
      </c>
      <c r="B62" s="46"/>
      <c r="C62" s="46" t="s">
        <v>326</v>
      </c>
      <c r="D62" s="279">
        <f t="shared" si="1"/>
        <v>13416.441102638655</v>
      </c>
    </row>
    <row r="70" spans="2:5" x14ac:dyDescent="0.25">
      <c r="B70" s="256" t="s">
        <v>333</v>
      </c>
      <c r="C70" s="60" t="s">
        <v>334</v>
      </c>
      <c r="D70" s="36"/>
      <c r="E70" s="36" t="s">
        <v>331</v>
      </c>
    </row>
    <row r="71" spans="2:5" x14ac:dyDescent="0.25">
      <c r="B71" s="46" t="s">
        <v>335</v>
      </c>
      <c r="C71" s="46"/>
      <c r="D71" s="46"/>
      <c r="E71" s="280">
        <v>20000</v>
      </c>
    </row>
    <row r="72" spans="2:5" x14ac:dyDescent="0.25">
      <c r="B72" s="46" t="s">
        <v>336</v>
      </c>
      <c r="C72" s="46"/>
      <c r="D72" s="46"/>
      <c r="E72" s="280">
        <v>25000</v>
      </c>
    </row>
    <row r="73" spans="2:5" x14ac:dyDescent="0.25">
      <c r="B73" s="46" t="s">
        <v>337</v>
      </c>
      <c r="C73" s="46"/>
      <c r="D73" s="46"/>
      <c r="E73" s="280">
        <v>80000</v>
      </c>
    </row>
    <row r="74" spans="2:5" x14ac:dyDescent="0.25">
      <c r="B74" s="46" t="s">
        <v>338</v>
      </c>
      <c r="C74" s="46"/>
      <c r="D74" s="46"/>
      <c r="E74" s="280">
        <v>10000</v>
      </c>
    </row>
    <row r="75" spans="2:5" x14ac:dyDescent="0.25">
      <c r="B75" s="46" t="s">
        <v>339</v>
      </c>
      <c r="C75" s="46"/>
      <c r="D75" s="46"/>
      <c r="E75" s="280">
        <v>20000</v>
      </c>
    </row>
    <row r="76" spans="2:5" x14ac:dyDescent="0.25">
      <c r="B76" s="46" t="s">
        <v>340</v>
      </c>
      <c r="C76" s="46"/>
      <c r="D76" s="46"/>
      <c r="E76" s="280">
        <v>10000</v>
      </c>
    </row>
    <row r="82" spans="4:5" x14ac:dyDescent="0.25">
      <c r="D82" s="36" t="s">
        <v>4</v>
      </c>
      <c r="E82" s="115">
        <f>SUM(E71:E81)</f>
        <v>165000</v>
      </c>
    </row>
  </sheetData>
  <pageMargins left="0.7" right="0.7" top="0.75" bottom="0.75" header="0.3" footer="0.3"/>
  <pageSetup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82"/>
  <sheetViews>
    <sheetView topLeftCell="A16" workbookViewId="0">
      <selection activeCell="B2" sqref="B2:B28"/>
    </sheetView>
  </sheetViews>
  <sheetFormatPr defaultRowHeight="15" x14ac:dyDescent="0.25"/>
  <cols>
    <col min="2" max="2" width="12.140625" customWidth="1"/>
    <col min="3" max="3" width="9.42578125" customWidth="1"/>
    <col min="4" max="4" width="12.140625" customWidth="1"/>
    <col min="5" max="5" width="13.28515625" customWidth="1"/>
    <col min="6" max="6" width="12.7109375" customWidth="1"/>
    <col min="7" max="7" width="16.5703125" customWidth="1"/>
    <col min="8" max="8" width="9.140625" customWidth="1"/>
  </cols>
  <sheetData>
    <row r="1" spans="1:11" ht="18.75" x14ac:dyDescent="0.3">
      <c r="A1" s="36"/>
      <c r="B1" s="36"/>
      <c r="C1" s="120" t="s">
        <v>373</v>
      </c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275" t="s">
        <v>328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75" x14ac:dyDescent="0.25">
      <c r="A3" s="43" t="s">
        <v>329</v>
      </c>
      <c r="B3" s="43"/>
      <c r="C3" s="127"/>
      <c r="D3" s="109" t="s">
        <v>330</v>
      </c>
      <c r="E3" s="43" t="s">
        <v>331</v>
      </c>
      <c r="F3" s="43" t="s">
        <v>302</v>
      </c>
      <c r="G3" s="43"/>
      <c r="H3" s="43"/>
      <c r="I3" s="43"/>
      <c r="J3" s="43"/>
      <c r="K3" s="43"/>
    </row>
    <row r="4" spans="1:11" x14ac:dyDescent="0.25">
      <c r="A4" s="43">
        <v>1</v>
      </c>
      <c r="B4" s="276">
        <v>44377</v>
      </c>
      <c r="C4" s="43"/>
      <c r="D4" s="43"/>
      <c r="E4" s="107">
        <f>E82</f>
        <v>165000</v>
      </c>
      <c r="F4" s="43" t="s">
        <v>194</v>
      </c>
      <c r="G4" s="107">
        <f>E4/25</f>
        <v>6600</v>
      </c>
      <c r="H4" s="107"/>
      <c r="I4" s="43"/>
      <c r="J4" s="43"/>
      <c r="K4" s="43"/>
    </row>
    <row r="5" spans="1:11" x14ac:dyDescent="0.25">
      <c r="A5" s="43">
        <v>2</v>
      </c>
      <c r="B5" s="276">
        <v>44742</v>
      </c>
      <c r="C5" s="43"/>
      <c r="D5" s="43"/>
      <c r="E5" s="107"/>
      <c r="F5" s="43" t="s">
        <v>303</v>
      </c>
      <c r="G5" s="107">
        <f>G4*0.03 + G4</f>
        <v>6798</v>
      </c>
      <c r="H5" s="43"/>
      <c r="I5" s="43"/>
      <c r="J5" s="43"/>
      <c r="K5" s="43"/>
    </row>
    <row r="6" spans="1:11" x14ac:dyDescent="0.25">
      <c r="A6" s="43">
        <v>3</v>
      </c>
      <c r="B6" s="276">
        <v>45107</v>
      </c>
      <c r="C6" s="43"/>
      <c r="D6" s="43"/>
      <c r="E6" s="107"/>
      <c r="F6" s="43" t="s">
        <v>304</v>
      </c>
      <c r="G6" s="107">
        <f t="shared" ref="G6:G28" si="0">G5*0.03+G5</f>
        <v>7001.94</v>
      </c>
      <c r="H6" s="129"/>
      <c r="I6" s="43"/>
      <c r="J6" s="43"/>
      <c r="K6" s="43"/>
    </row>
    <row r="7" spans="1:11" x14ac:dyDescent="0.25">
      <c r="A7" s="43">
        <v>4</v>
      </c>
      <c r="B7" s="276">
        <v>45473</v>
      </c>
      <c r="C7" s="43"/>
      <c r="D7" s="43"/>
      <c r="E7" s="107"/>
      <c r="F7" s="43" t="s">
        <v>305</v>
      </c>
      <c r="G7" s="107">
        <f t="shared" si="0"/>
        <v>7211.9982</v>
      </c>
      <c r="H7" s="43"/>
      <c r="I7" s="43"/>
      <c r="J7" s="43"/>
      <c r="K7" s="43"/>
    </row>
    <row r="8" spans="1:11" x14ac:dyDescent="0.25">
      <c r="A8" s="43">
        <v>5</v>
      </c>
      <c r="B8" s="276">
        <v>45838</v>
      </c>
      <c r="C8" s="43"/>
      <c r="D8" s="43"/>
      <c r="E8" s="107"/>
      <c r="F8" s="43" t="s">
        <v>306</v>
      </c>
      <c r="G8" s="107">
        <f t="shared" si="0"/>
        <v>7428.3581459999996</v>
      </c>
      <c r="H8" s="43"/>
      <c r="I8" s="43"/>
      <c r="J8" s="43"/>
      <c r="K8" s="43"/>
    </row>
    <row r="9" spans="1:11" x14ac:dyDescent="0.25">
      <c r="A9" s="43">
        <v>6</v>
      </c>
      <c r="B9" s="276">
        <v>46203</v>
      </c>
      <c r="C9" s="43"/>
      <c r="D9" s="43"/>
      <c r="E9" s="107"/>
      <c r="F9" s="43" t="s">
        <v>307</v>
      </c>
      <c r="G9" s="107">
        <f t="shared" si="0"/>
        <v>7651.2088903799995</v>
      </c>
      <c r="H9" s="107"/>
      <c r="I9" s="43"/>
      <c r="J9" s="43"/>
      <c r="K9" s="43"/>
    </row>
    <row r="10" spans="1:11" x14ac:dyDescent="0.25">
      <c r="A10" s="43">
        <v>7</v>
      </c>
      <c r="B10" s="276">
        <v>46568</v>
      </c>
      <c r="C10" s="43"/>
      <c r="D10" s="43"/>
      <c r="E10" s="107"/>
      <c r="F10" s="43" t="s">
        <v>308</v>
      </c>
      <c r="G10" s="107">
        <f t="shared" si="0"/>
        <v>7880.7451570913991</v>
      </c>
      <c r="H10" s="43"/>
      <c r="I10" s="43"/>
      <c r="J10" s="43"/>
      <c r="K10" s="43"/>
    </row>
    <row r="11" spans="1:11" x14ac:dyDescent="0.25">
      <c r="A11" s="43">
        <v>8</v>
      </c>
      <c r="B11" s="276">
        <v>46934</v>
      </c>
      <c r="C11" s="43"/>
      <c r="D11" s="43"/>
      <c r="E11" s="107"/>
      <c r="F11" s="43" t="s">
        <v>309</v>
      </c>
      <c r="G11" s="107">
        <f t="shared" si="0"/>
        <v>8117.1675118041412</v>
      </c>
      <c r="H11" s="43"/>
      <c r="I11" s="43"/>
      <c r="J11" s="43"/>
      <c r="K11" s="43"/>
    </row>
    <row r="12" spans="1:11" x14ac:dyDescent="0.25">
      <c r="A12" s="43">
        <v>9</v>
      </c>
      <c r="B12" s="276">
        <v>47299</v>
      </c>
      <c r="C12" s="43"/>
      <c r="D12" s="43"/>
      <c r="E12" s="107"/>
      <c r="F12" s="43" t="s">
        <v>310</v>
      </c>
      <c r="G12" s="107">
        <f t="shared" si="0"/>
        <v>8360.6825371582654</v>
      </c>
      <c r="H12" s="43"/>
      <c r="I12" s="43"/>
      <c r="J12" s="43"/>
      <c r="K12" s="43"/>
    </row>
    <row r="13" spans="1:11" x14ac:dyDescent="0.25">
      <c r="A13" s="43">
        <v>10</v>
      </c>
      <c r="B13" s="276">
        <v>47664</v>
      </c>
      <c r="C13" s="43"/>
      <c r="D13" s="43"/>
      <c r="E13" s="107"/>
      <c r="F13" s="43" t="s">
        <v>311</v>
      </c>
      <c r="G13" s="107">
        <f t="shared" si="0"/>
        <v>8611.5030132730135</v>
      </c>
      <c r="H13" s="43"/>
      <c r="I13" s="43"/>
      <c r="J13" s="43"/>
      <c r="K13" s="43"/>
    </row>
    <row r="14" spans="1:11" x14ac:dyDescent="0.25">
      <c r="A14" s="43">
        <v>11</v>
      </c>
      <c r="B14" s="276">
        <v>48029</v>
      </c>
      <c r="C14" s="43"/>
      <c r="D14" s="43"/>
      <c r="E14" s="107"/>
      <c r="F14" s="43" t="s">
        <v>312</v>
      </c>
      <c r="G14" s="107">
        <f t="shared" si="0"/>
        <v>8869.8481036712037</v>
      </c>
      <c r="H14" s="43"/>
      <c r="I14" s="43"/>
      <c r="J14" s="43"/>
      <c r="K14" s="43"/>
    </row>
    <row r="15" spans="1:11" x14ac:dyDescent="0.25">
      <c r="A15" s="43">
        <v>12</v>
      </c>
      <c r="B15" s="276">
        <v>48395</v>
      </c>
      <c r="C15" s="43"/>
      <c r="D15" s="43"/>
      <c r="E15" s="107"/>
      <c r="F15" s="43" t="s">
        <v>313</v>
      </c>
      <c r="G15" s="107">
        <f t="shared" si="0"/>
        <v>9135.94354678134</v>
      </c>
      <c r="H15" s="43"/>
      <c r="I15" s="43"/>
      <c r="J15" s="43"/>
      <c r="K15" s="43"/>
    </row>
    <row r="16" spans="1:11" x14ac:dyDescent="0.25">
      <c r="A16" s="43">
        <v>13</v>
      </c>
      <c r="B16" s="276">
        <v>48760</v>
      </c>
      <c r="C16" s="43"/>
      <c r="D16" s="43"/>
      <c r="E16" s="107"/>
      <c r="F16" s="43" t="s">
        <v>314</v>
      </c>
      <c r="G16" s="107">
        <f t="shared" si="0"/>
        <v>9410.0218531847804</v>
      </c>
      <c r="H16" s="43"/>
      <c r="I16" s="43"/>
      <c r="J16" s="43"/>
      <c r="K16" s="43"/>
    </row>
    <row r="17" spans="1:11" x14ac:dyDescent="0.25">
      <c r="A17" s="43">
        <v>14</v>
      </c>
      <c r="B17" s="276">
        <v>49125</v>
      </c>
      <c r="C17" s="43"/>
      <c r="D17" s="43"/>
      <c r="E17" s="107"/>
      <c r="F17" s="43" t="s">
        <v>315</v>
      </c>
      <c r="G17" s="107">
        <f t="shared" si="0"/>
        <v>9692.3225087803239</v>
      </c>
      <c r="H17" s="43"/>
      <c r="I17" s="43"/>
      <c r="J17" s="43"/>
      <c r="K17" s="43"/>
    </row>
    <row r="18" spans="1:11" x14ac:dyDescent="0.25">
      <c r="A18" s="43">
        <v>15</v>
      </c>
      <c r="B18" s="276">
        <v>49490</v>
      </c>
      <c r="C18" s="43"/>
      <c r="D18" s="43"/>
      <c r="E18" s="107"/>
      <c r="F18" s="43" t="s">
        <v>316</v>
      </c>
      <c r="G18" s="107">
        <f t="shared" si="0"/>
        <v>9983.0921840437331</v>
      </c>
      <c r="H18" s="43"/>
      <c r="I18" s="43"/>
      <c r="J18" s="43"/>
      <c r="K18" s="43"/>
    </row>
    <row r="19" spans="1:11" x14ac:dyDescent="0.25">
      <c r="A19" s="43">
        <v>16</v>
      </c>
      <c r="B19" s="276">
        <v>49856</v>
      </c>
      <c r="C19" s="43"/>
      <c r="D19" s="43"/>
      <c r="E19" s="107"/>
      <c r="F19" s="43" t="s">
        <v>317</v>
      </c>
      <c r="G19" s="107">
        <f t="shared" si="0"/>
        <v>10282.584949565045</v>
      </c>
      <c r="H19" s="43"/>
      <c r="I19" s="43"/>
      <c r="J19" s="43"/>
      <c r="K19" s="43"/>
    </row>
    <row r="20" spans="1:11" x14ac:dyDescent="0.25">
      <c r="A20" s="43">
        <v>17</v>
      </c>
      <c r="B20" s="276">
        <v>50221</v>
      </c>
      <c r="C20" s="43"/>
      <c r="D20" s="43"/>
      <c r="E20" s="107"/>
      <c r="F20" s="43" t="s">
        <v>318</v>
      </c>
      <c r="G20" s="107">
        <f t="shared" si="0"/>
        <v>10591.062498051997</v>
      </c>
      <c r="H20" s="43"/>
      <c r="I20" s="43"/>
      <c r="J20" s="43"/>
      <c r="K20" s="43"/>
    </row>
    <row r="21" spans="1:11" x14ac:dyDescent="0.25">
      <c r="A21" s="43">
        <v>18</v>
      </c>
      <c r="B21" s="276">
        <v>50586</v>
      </c>
      <c r="C21" s="43"/>
      <c r="D21" s="43"/>
      <c r="E21" s="107"/>
      <c r="F21" s="43" t="s">
        <v>319</v>
      </c>
      <c r="G21" s="107">
        <f t="shared" si="0"/>
        <v>10908.794372993558</v>
      </c>
      <c r="H21" s="43"/>
      <c r="I21" s="43"/>
      <c r="J21" s="43"/>
      <c r="K21" s="43"/>
    </row>
    <row r="22" spans="1:11" x14ac:dyDescent="0.25">
      <c r="A22" s="43">
        <v>19</v>
      </c>
      <c r="B22" s="276">
        <v>50951</v>
      </c>
      <c r="C22" s="43"/>
      <c r="D22" s="43"/>
      <c r="E22" s="107"/>
      <c r="F22" s="43" t="s">
        <v>320</v>
      </c>
      <c r="G22" s="107">
        <f t="shared" si="0"/>
        <v>11236.058204183364</v>
      </c>
      <c r="H22" s="43"/>
      <c r="I22" s="43"/>
      <c r="J22" s="43"/>
      <c r="K22" s="43"/>
    </row>
    <row r="23" spans="1:11" x14ac:dyDescent="0.25">
      <c r="A23" s="43">
        <v>20</v>
      </c>
      <c r="B23" s="276">
        <v>51317</v>
      </c>
      <c r="C23" s="43"/>
      <c r="D23" s="43"/>
      <c r="E23" s="107"/>
      <c r="F23" s="43" t="s">
        <v>321</v>
      </c>
      <c r="G23" s="107">
        <f t="shared" si="0"/>
        <v>11573.139950308865</v>
      </c>
      <c r="H23" s="43"/>
      <c r="I23" s="43"/>
      <c r="J23" s="43"/>
      <c r="K23" s="43"/>
    </row>
    <row r="24" spans="1:11" x14ac:dyDescent="0.25">
      <c r="A24" s="43">
        <v>21</v>
      </c>
      <c r="B24" s="276">
        <v>51682</v>
      </c>
      <c r="C24" s="43"/>
      <c r="D24" s="43"/>
      <c r="E24" s="107"/>
      <c r="F24" s="43" t="s">
        <v>322</v>
      </c>
      <c r="G24" s="107">
        <f t="shared" si="0"/>
        <v>11920.33414881813</v>
      </c>
      <c r="H24" s="43"/>
      <c r="I24" s="43"/>
      <c r="J24" s="43"/>
      <c r="K24" s="43"/>
    </row>
    <row r="25" spans="1:11" x14ac:dyDescent="0.25">
      <c r="A25" s="43">
        <v>22</v>
      </c>
      <c r="B25" s="276">
        <v>52047</v>
      </c>
      <c r="C25" s="43"/>
      <c r="D25" s="43"/>
      <c r="E25" s="107"/>
      <c r="F25" s="43" t="s">
        <v>323</v>
      </c>
      <c r="G25" s="107">
        <f t="shared" si="0"/>
        <v>12277.944173282674</v>
      </c>
      <c r="H25" s="43"/>
      <c r="I25" s="43"/>
      <c r="J25" s="43"/>
      <c r="K25" s="43"/>
    </row>
    <row r="26" spans="1:11" x14ac:dyDescent="0.25">
      <c r="A26" s="43">
        <v>23</v>
      </c>
      <c r="B26" s="276">
        <v>52412</v>
      </c>
      <c r="C26" s="43"/>
      <c r="D26" s="43"/>
      <c r="E26" s="107"/>
      <c r="F26" s="43" t="s">
        <v>324</v>
      </c>
      <c r="G26" s="107">
        <f t="shared" si="0"/>
        <v>12646.282498481154</v>
      </c>
      <c r="H26" s="43"/>
      <c r="I26" s="43"/>
      <c r="J26" s="43"/>
      <c r="K26" s="43"/>
    </row>
    <row r="27" spans="1:11" ht="15" customHeight="1" x14ac:dyDescent="0.25">
      <c r="A27" s="43">
        <v>24</v>
      </c>
      <c r="B27" s="276">
        <v>52778</v>
      </c>
      <c r="C27" s="43"/>
      <c r="D27" s="43"/>
      <c r="E27" s="107"/>
      <c r="F27" s="43" t="s">
        <v>325</v>
      </c>
      <c r="G27" s="107">
        <f t="shared" si="0"/>
        <v>13025.670973435588</v>
      </c>
      <c r="H27" s="43"/>
      <c r="I27" s="43"/>
      <c r="J27" s="43"/>
      <c r="K27" s="43"/>
    </row>
    <row r="28" spans="1:11" x14ac:dyDescent="0.25">
      <c r="A28" s="43">
        <v>25</v>
      </c>
      <c r="B28" s="276">
        <v>53143</v>
      </c>
      <c r="C28" s="43"/>
      <c r="D28" s="43"/>
      <c r="E28" s="107"/>
      <c r="F28" s="43" t="s">
        <v>326</v>
      </c>
      <c r="G28" s="107">
        <f t="shared" si="0"/>
        <v>13416.441102638655</v>
      </c>
      <c r="H28" s="43"/>
      <c r="I28" s="43"/>
      <c r="J28" s="43"/>
      <c r="K28" s="43"/>
    </row>
    <row r="29" spans="1:11" x14ac:dyDescent="0.25">
      <c r="B29" s="278"/>
      <c r="E29" s="2"/>
      <c r="G29" s="2"/>
    </row>
    <row r="30" spans="1:11" x14ac:dyDescent="0.25">
      <c r="B30" s="278"/>
      <c r="E30" s="2"/>
      <c r="G30" s="2"/>
    </row>
    <row r="31" spans="1:11" x14ac:dyDescent="0.25">
      <c r="B31" s="278"/>
      <c r="E31" s="2"/>
      <c r="G31" s="2"/>
    </row>
    <row r="32" spans="1:11" ht="18.75" customHeight="1" x14ac:dyDescent="0.25">
      <c r="B32" s="278"/>
      <c r="E32" s="2"/>
      <c r="G32" s="2"/>
    </row>
    <row r="33" spans="2:7" x14ac:dyDescent="0.25">
      <c r="B33" s="278"/>
      <c r="E33" s="2"/>
      <c r="G33" s="2"/>
    </row>
    <row r="36" spans="2:7" x14ac:dyDescent="0.25">
      <c r="C36" s="43" t="s">
        <v>332</v>
      </c>
      <c r="D36" s="36">
        <v>200</v>
      </c>
      <c r="E36" s="43">
        <v>300</v>
      </c>
      <c r="F36" s="36">
        <v>400</v>
      </c>
      <c r="G36" s="43">
        <v>600</v>
      </c>
    </row>
    <row r="37" spans="2:7" x14ac:dyDescent="0.25">
      <c r="C37" s="43" t="s">
        <v>302</v>
      </c>
      <c r="D37" s="36"/>
      <c r="E37" s="43"/>
      <c r="F37" s="36"/>
      <c r="G37" s="43"/>
    </row>
    <row r="38" spans="2:7" ht="15.75" thickBot="1" x14ac:dyDescent="0.3">
      <c r="C38" s="43" t="s">
        <v>194</v>
      </c>
      <c r="D38" s="114">
        <f t="shared" ref="D38:D62" si="1">G4/4</f>
        <v>1650</v>
      </c>
      <c r="E38" s="288">
        <f t="shared" ref="E38:E62" si="2">G4/4</f>
        <v>1650</v>
      </c>
      <c r="F38" s="114">
        <f t="shared" ref="F38:F62" si="3">G4/4</f>
        <v>1650</v>
      </c>
      <c r="G38" s="107">
        <f t="shared" ref="G38:G62" si="4">G4/4</f>
        <v>1650</v>
      </c>
    </row>
    <row r="39" spans="2:7" ht="15.75" thickTop="1" x14ac:dyDescent="0.25">
      <c r="C39" s="43" t="s">
        <v>303</v>
      </c>
      <c r="D39" s="114">
        <f t="shared" si="1"/>
        <v>1699.5</v>
      </c>
      <c r="E39" s="107">
        <f t="shared" si="2"/>
        <v>1699.5</v>
      </c>
      <c r="F39" s="114">
        <f t="shared" si="3"/>
        <v>1699.5</v>
      </c>
      <c r="G39" s="107">
        <f t="shared" si="4"/>
        <v>1699.5</v>
      </c>
    </row>
    <row r="40" spans="2:7" x14ac:dyDescent="0.25">
      <c r="C40" s="43" t="s">
        <v>304</v>
      </c>
      <c r="D40" s="114">
        <f t="shared" si="1"/>
        <v>1750.4849999999999</v>
      </c>
      <c r="E40" s="107">
        <f t="shared" si="2"/>
        <v>1750.4849999999999</v>
      </c>
      <c r="F40" s="114">
        <f t="shared" si="3"/>
        <v>1750.4849999999999</v>
      </c>
      <c r="G40" s="107">
        <f t="shared" si="4"/>
        <v>1750.4849999999999</v>
      </c>
    </row>
    <row r="41" spans="2:7" x14ac:dyDescent="0.25">
      <c r="C41" s="43" t="s">
        <v>305</v>
      </c>
      <c r="D41" s="114">
        <f t="shared" si="1"/>
        <v>1802.99955</v>
      </c>
      <c r="E41" s="107">
        <f t="shared" si="2"/>
        <v>1802.99955</v>
      </c>
      <c r="F41" s="114">
        <f t="shared" si="3"/>
        <v>1802.99955</v>
      </c>
      <c r="G41" s="107">
        <f t="shared" si="4"/>
        <v>1802.99955</v>
      </c>
    </row>
    <row r="42" spans="2:7" x14ac:dyDescent="0.25">
      <c r="C42" s="43" t="s">
        <v>306</v>
      </c>
      <c r="D42" s="114">
        <f t="shared" si="1"/>
        <v>1857.0895364999999</v>
      </c>
      <c r="E42" s="107">
        <f t="shared" si="2"/>
        <v>1857.0895364999999</v>
      </c>
      <c r="F42" s="114">
        <f t="shared" si="3"/>
        <v>1857.0895364999999</v>
      </c>
      <c r="G42" s="107">
        <f t="shared" si="4"/>
        <v>1857.0895364999999</v>
      </c>
    </row>
    <row r="43" spans="2:7" x14ac:dyDescent="0.25">
      <c r="C43" s="43" t="s">
        <v>307</v>
      </c>
      <c r="D43" s="114">
        <f t="shared" si="1"/>
        <v>1912.8022225949999</v>
      </c>
      <c r="E43" s="107">
        <f t="shared" si="2"/>
        <v>1912.8022225949999</v>
      </c>
      <c r="F43" s="114">
        <f t="shared" si="3"/>
        <v>1912.8022225949999</v>
      </c>
      <c r="G43" s="107">
        <f t="shared" si="4"/>
        <v>1912.8022225949999</v>
      </c>
    </row>
    <row r="44" spans="2:7" x14ac:dyDescent="0.25">
      <c r="C44" s="43" t="s">
        <v>308</v>
      </c>
      <c r="D44" s="114">
        <f t="shared" si="1"/>
        <v>1970.1862892728498</v>
      </c>
      <c r="E44" s="107">
        <f t="shared" si="2"/>
        <v>1970.1862892728498</v>
      </c>
      <c r="F44" s="114">
        <f t="shared" si="3"/>
        <v>1970.1862892728498</v>
      </c>
      <c r="G44" s="107">
        <f t="shared" si="4"/>
        <v>1970.1862892728498</v>
      </c>
    </row>
    <row r="45" spans="2:7" x14ac:dyDescent="0.25">
      <c r="C45" s="43" t="s">
        <v>309</v>
      </c>
      <c r="D45" s="114">
        <f t="shared" si="1"/>
        <v>2029.2918779510353</v>
      </c>
      <c r="E45" s="107">
        <f t="shared" si="2"/>
        <v>2029.2918779510353</v>
      </c>
      <c r="F45" s="114">
        <f t="shared" si="3"/>
        <v>2029.2918779510353</v>
      </c>
      <c r="G45" s="107">
        <f t="shared" si="4"/>
        <v>2029.2918779510353</v>
      </c>
    </row>
    <row r="46" spans="2:7" x14ac:dyDescent="0.25">
      <c r="C46" s="43" t="s">
        <v>310</v>
      </c>
      <c r="D46" s="114">
        <f t="shared" si="1"/>
        <v>2090.1706342895664</v>
      </c>
      <c r="E46" s="107">
        <f t="shared" si="2"/>
        <v>2090.1706342895664</v>
      </c>
      <c r="F46" s="114">
        <f t="shared" si="3"/>
        <v>2090.1706342895664</v>
      </c>
      <c r="G46" s="107">
        <f t="shared" si="4"/>
        <v>2090.1706342895664</v>
      </c>
    </row>
    <row r="47" spans="2:7" x14ac:dyDescent="0.25">
      <c r="C47" s="43" t="s">
        <v>311</v>
      </c>
      <c r="D47" s="114">
        <f t="shared" si="1"/>
        <v>2152.8757533182534</v>
      </c>
      <c r="E47" s="107">
        <f t="shared" si="2"/>
        <v>2152.8757533182534</v>
      </c>
      <c r="F47" s="114">
        <f t="shared" si="3"/>
        <v>2152.8757533182534</v>
      </c>
      <c r="G47" s="107">
        <f t="shared" si="4"/>
        <v>2152.8757533182534</v>
      </c>
    </row>
    <row r="48" spans="2:7" x14ac:dyDescent="0.25">
      <c r="C48" s="43" t="s">
        <v>312</v>
      </c>
      <c r="D48" s="114">
        <f t="shared" si="1"/>
        <v>2217.4620259178009</v>
      </c>
      <c r="E48" s="107">
        <f t="shared" si="2"/>
        <v>2217.4620259178009</v>
      </c>
      <c r="F48" s="114">
        <f t="shared" si="3"/>
        <v>2217.4620259178009</v>
      </c>
      <c r="G48" s="107">
        <f t="shared" si="4"/>
        <v>2217.4620259178009</v>
      </c>
    </row>
    <row r="49" spans="3:7" x14ac:dyDescent="0.25">
      <c r="C49" s="43" t="s">
        <v>313</v>
      </c>
      <c r="D49" s="114">
        <f t="shared" si="1"/>
        <v>2283.985886695335</v>
      </c>
      <c r="E49" s="107">
        <f t="shared" si="2"/>
        <v>2283.985886695335</v>
      </c>
      <c r="F49" s="114">
        <f t="shared" si="3"/>
        <v>2283.985886695335</v>
      </c>
      <c r="G49" s="107">
        <f t="shared" si="4"/>
        <v>2283.985886695335</v>
      </c>
    </row>
    <row r="50" spans="3:7" x14ac:dyDescent="0.25">
      <c r="C50" s="43" t="s">
        <v>314</v>
      </c>
      <c r="D50" s="114">
        <f t="shared" si="1"/>
        <v>2352.5054632961951</v>
      </c>
      <c r="E50" s="107">
        <f t="shared" si="2"/>
        <v>2352.5054632961951</v>
      </c>
      <c r="F50" s="114">
        <f t="shared" si="3"/>
        <v>2352.5054632961951</v>
      </c>
      <c r="G50" s="107">
        <f t="shared" si="4"/>
        <v>2352.5054632961951</v>
      </c>
    </row>
    <row r="51" spans="3:7" x14ac:dyDescent="0.25">
      <c r="C51" s="43" t="s">
        <v>315</v>
      </c>
      <c r="D51" s="114">
        <f t="shared" si="1"/>
        <v>2423.080627195081</v>
      </c>
      <c r="E51" s="107">
        <f t="shared" si="2"/>
        <v>2423.080627195081</v>
      </c>
      <c r="F51" s="114">
        <f t="shared" si="3"/>
        <v>2423.080627195081</v>
      </c>
      <c r="G51" s="107">
        <f t="shared" si="4"/>
        <v>2423.080627195081</v>
      </c>
    </row>
    <row r="52" spans="3:7" x14ac:dyDescent="0.25">
      <c r="C52" s="43" t="s">
        <v>316</v>
      </c>
      <c r="D52" s="114">
        <f t="shared" si="1"/>
        <v>2495.7730460109333</v>
      </c>
      <c r="E52" s="107">
        <f t="shared" si="2"/>
        <v>2495.7730460109333</v>
      </c>
      <c r="F52" s="114">
        <f t="shared" si="3"/>
        <v>2495.7730460109333</v>
      </c>
      <c r="G52" s="107">
        <f t="shared" si="4"/>
        <v>2495.7730460109333</v>
      </c>
    </row>
    <row r="53" spans="3:7" x14ac:dyDescent="0.25">
      <c r="C53" s="43" t="s">
        <v>317</v>
      </c>
      <c r="D53" s="114">
        <f t="shared" si="1"/>
        <v>2570.6462373912614</v>
      </c>
      <c r="E53" s="107">
        <f t="shared" si="2"/>
        <v>2570.6462373912614</v>
      </c>
      <c r="F53" s="114">
        <f t="shared" si="3"/>
        <v>2570.6462373912614</v>
      </c>
      <c r="G53" s="107">
        <f t="shared" si="4"/>
        <v>2570.6462373912614</v>
      </c>
    </row>
    <row r="54" spans="3:7" x14ac:dyDescent="0.25">
      <c r="C54" s="43" t="s">
        <v>318</v>
      </c>
      <c r="D54" s="114">
        <f t="shared" si="1"/>
        <v>2647.7656245129992</v>
      </c>
      <c r="E54" s="107">
        <f t="shared" si="2"/>
        <v>2647.7656245129992</v>
      </c>
      <c r="F54" s="114">
        <f t="shared" si="3"/>
        <v>2647.7656245129992</v>
      </c>
      <c r="G54" s="107">
        <f t="shared" si="4"/>
        <v>2647.7656245129992</v>
      </c>
    </row>
    <row r="55" spans="3:7" x14ac:dyDescent="0.25">
      <c r="C55" s="43" t="s">
        <v>319</v>
      </c>
      <c r="D55" s="114">
        <f t="shared" si="1"/>
        <v>2727.1985932483894</v>
      </c>
      <c r="E55" s="107">
        <f t="shared" si="2"/>
        <v>2727.1985932483894</v>
      </c>
      <c r="F55" s="114">
        <f t="shared" si="3"/>
        <v>2727.1985932483894</v>
      </c>
      <c r="G55" s="107">
        <f t="shared" si="4"/>
        <v>2727.1985932483894</v>
      </c>
    </row>
    <row r="56" spans="3:7" x14ac:dyDescent="0.25">
      <c r="C56" s="43" t="s">
        <v>320</v>
      </c>
      <c r="D56" s="114">
        <f t="shared" si="1"/>
        <v>2809.014551045841</v>
      </c>
      <c r="E56" s="107">
        <f t="shared" si="2"/>
        <v>2809.014551045841</v>
      </c>
      <c r="F56" s="114">
        <f t="shared" si="3"/>
        <v>2809.014551045841</v>
      </c>
      <c r="G56" s="107">
        <f t="shared" si="4"/>
        <v>2809.014551045841</v>
      </c>
    </row>
    <row r="57" spans="3:7" x14ac:dyDescent="0.25">
      <c r="C57" s="43" t="s">
        <v>321</v>
      </c>
      <c r="D57" s="114">
        <f t="shared" si="1"/>
        <v>2893.2849875772163</v>
      </c>
      <c r="E57" s="107">
        <f t="shared" si="2"/>
        <v>2893.2849875772163</v>
      </c>
      <c r="F57" s="114">
        <f t="shared" si="3"/>
        <v>2893.2849875772163</v>
      </c>
      <c r="G57" s="107">
        <f t="shared" si="4"/>
        <v>2893.2849875772163</v>
      </c>
    </row>
    <row r="58" spans="3:7" x14ac:dyDescent="0.25">
      <c r="C58" s="43" t="s">
        <v>322</v>
      </c>
      <c r="D58" s="114">
        <f t="shared" si="1"/>
        <v>2980.0835372045326</v>
      </c>
      <c r="E58" s="107">
        <f t="shared" si="2"/>
        <v>2980.0835372045326</v>
      </c>
      <c r="F58" s="114">
        <f t="shared" si="3"/>
        <v>2980.0835372045326</v>
      </c>
      <c r="G58" s="107">
        <f t="shared" si="4"/>
        <v>2980.0835372045326</v>
      </c>
    </row>
    <row r="59" spans="3:7" x14ac:dyDescent="0.25">
      <c r="C59" s="43" t="s">
        <v>323</v>
      </c>
      <c r="D59" s="114">
        <f t="shared" si="1"/>
        <v>3069.4860433206686</v>
      </c>
      <c r="E59" s="107">
        <f t="shared" si="2"/>
        <v>3069.4860433206686</v>
      </c>
      <c r="F59" s="114">
        <f t="shared" si="3"/>
        <v>3069.4860433206686</v>
      </c>
      <c r="G59" s="107">
        <f t="shared" si="4"/>
        <v>3069.4860433206686</v>
      </c>
    </row>
    <row r="60" spans="3:7" x14ac:dyDescent="0.25">
      <c r="C60" s="43" t="s">
        <v>324</v>
      </c>
      <c r="D60" s="114">
        <f t="shared" si="1"/>
        <v>3161.5706246202885</v>
      </c>
      <c r="E60" s="107">
        <f t="shared" si="2"/>
        <v>3161.5706246202885</v>
      </c>
      <c r="F60" s="114">
        <f t="shared" si="3"/>
        <v>3161.5706246202885</v>
      </c>
      <c r="G60" s="107">
        <f t="shared" si="4"/>
        <v>3161.5706246202885</v>
      </c>
    </row>
    <row r="61" spans="3:7" x14ac:dyDescent="0.25">
      <c r="C61" s="43" t="s">
        <v>325</v>
      </c>
      <c r="D61" s="114">
        <f t="shared" si="1"/>
        <v>3256.417743358897</v>
      </c>
      <c r="E61" s="107">
        <f t="shared" si="2"/>
        <v>3256.417743358897</v>
      </c>
      <c r="F61" s="114">
        <f t="shared" si="3"/>
        <v>3256.417743358897</v>
      </c>
      <c r="G61" s="107">
        <f t="shared" si="4"/>
        <v>3256.417743358897</v>
      </c>
    </row>
    <row r="62" spans="3:7" x14ac:dyDescent="0.25">
      <c r="C62" s="43" t="s">
        <v>326</v>
      </c>
      <c r="D62" s="114">
        <f t="shared" si="1"/>
        <v>3354.1102756596638</v>
      </c>
      <c r="E62" s="107">
        <f t="shared" si="2"/>
        <v>3354.1102756596638</v>
      </c>
      <c r="F62" s="114">
        <f t="shared" si="3"/>
        <v>3354.1102756596638</v>
      </c>
      <c r="G62" s="107">
        <f t="shared" si="4"/>
        <v>3354.1102756596638</v>
      </c>
    </row>
    <row r="70" spans="2:5" x14ac:dyDescent="0.25">
      <c r="B70" s="256" t="s">
        <v>333</v>
      </c>
      <c r="C70" s="60" t="s">
        <v>334</v>
      </c>
      <c r="D70" s="36"/>
      <c r="E70" s="36" t="s">
        <v>331</v>
      </c>
    </row>
    <row r="71" spans="2:5" x14ac:dyDescent="0.25">
      <c r="B71" s="43" t="s">
        <v>335</v>
      </c>
      <c r="C71" s="43"/>
      <c r="D71" s="43"/>
      <c r="E71" s="108">
        <v>20000</v>
      </c>
    </row>
    <row r="72" spans="2:5" x14ac:dyDescent="0.25">
      <c r="B72" s="43" t="s">
        <v>336</v>
      </c>
      <c r="C72" s="43"/>
      <c r="D72" s="43"/>
      <c r="E72" s="108">
        <v>25000</v>
      </c>
    </row>
    <row r="73" spans="2:5" x14ac:dyDescent="0.25">
      <c r="B73" s="43" t="s">
        <v>337</v>
      </c>
      <c r="C73" s="43"/>
      <c r="D73" s="43"/>
      <c r="E73" s="108">
        <v>80000</v>
      </c>
    </row>
    <row r="74" spans="2:5" x14ac:dyDescent="0.25">
      <c r="B74" s="43" t="s">
        <v>338</v>
      </c>
      <c r="C74" s="43"/>
      <c r="D74" s="43"/>
      <c r="E74" s="108">
        <v>10000</v>
      </c>
    </row>
    <row r="75" spans="2:5" x14ac:dyDescent="0.25">
      <c r="B75" s="43" t="s">
        <v>339</v>
      </c>
      <c r="C75" s="43"/>
      <c r="D75" s="43"/>
      <c r="E75" s="108">
        <v>20000</v>
      </c>
    </row>
    <row r="76" spans="2:5" x14ac:dyDescent="0.25">
      <c r="B76" s="43" t="s">
        <v>340</v>
      </c>
      <c r="C76" s="43"/>
      <c r="D76" s="43"/>
      <c r="E76" s="108">
        <v>10000</v>
      </c>
    </row>
    <row r="82" spans="4:5" x14ac:dyDescent="0.25">
      <c r="D82" s="43" t="s">
        <v>4</v>
      </c>
      <c r="E82" s="108">
        <f>SUM(E71:E81)</f>
        <v>165000</v>
      </c>
    </row>
  </sheetData>
  <pageMargins left="0.7" right="0.7" top="0.75" bottom="0.75" header="0.3" footer="0.3"/>
  <pageSetup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D46"/>
  <sheetViews>
    <sheetView workbookViewId="0">
      <selection activeCell="E21" sqref="E21"/>
    </sheetView>
  </sheetViews>
  <sheetFormatPr defaultRowHeight="15" x14ac:dyDescent="0.25"/>
  <cols>
    <col min="1" max="1" width="19.42578125" customWidth="1"/>
    <col min="2" max="2" width="22.42578125" customWidth="1"/>
    <col min="3" max="3" width="19.5703125" customWidth="1"/>
    <col min="4" max="4" width="27" customWidth="1"/>
  </cols>
  <sheetData>
    <row r="1" spans="1:4" ht="48.75" customHeight="1" x14ac:dyDescent="0.25">
      <c r="A1" s="382"/>
      <c r="B1" s="382"/>
      <c r="C1" s="382"/>
      <c r="D1" s="382"/>
    </row>
    <row r="2" spans="1:4" ht="35.25" customHeight="1" x14ac:dyDescent="0.25">
      <c r="A2" s="382"/>
      <c r="B2" s="382"/>
      <c r="C2" s="382"/>
      <c r="D2" s="382"/>
    </row>
    <row r="3" spans="1:4" ht="30" customHeight="1" x14ac:dyDescent="0.25">
      <c r="A3" s="383">
        <v>200</v>
      </c>
      <c r="B3" s="383">
        <v>300</v>
      </c>
      <c r="C3" s="383">
        <v>400</v>
      </c>
      <c r="D3" s="383">
        <v>600</v>
      </c>
    </row>
    <row r="4" spans="1:4" x14ac:dyDescent="0.25">
      <c r="A4" s="18"/>
      <c r="B4" s="18"/>
      <c r="C4" s="18"/>
      <c r="D4" s="18"/>
    </row>
    <row r="5" spans="1:4" x14ac:dyDescent="0.25">
      <c r="A5" s="18"/>
      <c r="B5" s="18"/>
      <c r="C5" s="18"/>
      <c r="D5" s="18"/>
    </row>
    <row r="6" spans="1:4" x14ac:dyDescent="0.25">
      <c r="A6" s="18"/>
      <c r="B6" s="18"/>
      <c r="C6" s="18"/>
      <c r="D6" s="18"/>
    </row>
    <row r="7" spans="1:4" x14ac:dyDescent="0.25">
      <c r="A7" s="18"/>
      <c r="B7" s="18"/>
      <c r="C7" s="18"/>
      <c r="D7" s="18"/>
    </row>
    <row r="8" spans="1:4" x14ac:dyDescent="0.25">
      <c r="A8" s="18"/>
      <c r="B8" s="18"/>
      <c r="C8" s="18"/>
      <c r="D8" s="18"/>
    </row>
    <row r="9" spans="1:4" x14ac:dyDescent="0.25">
      <c r="A9" s="18"/>
      <c r="B9" s="18"/>
      <c r="C9" s="18"/>
      <c r="D9" s="18"/>
    </row>
    <row r="10" spans="1:4" x14ac:dyDescent="0.25">
      <c r="A10" s="18"/>
      <c r="B10" s="18"/>
      <c r="C10" s="18"/>
      <c r="D10" s="18"/>
    </row>
    <row r="11" spans="1:4" x14ac:dyDescent="0.25">
      <c r="A11" s="18"/>
      <c r="B11" s="18"/>
      <c r="C11" s="18"/>
      <c r="D11" s="18"/>
    </row>
    <row r="12" spans="1:4" x14ac:dyDescent="0.25">
      <c r="A12" s="18"/>
      <c r="B12" s="18"/>
      <c r="C12" s="18"/>
      <c r="D12" s="18"/>
    </row>
    <row r="13" spans="1:4" x14ac:dyDescent="0.25">
      <c r="A13" s="18"/>
      <c r="B13" s="18"/>
      <c r="C13" s="18"/>
      <c r="D13" s="18"/>
    </row>
    <row r="14" spans="1:4" x14ac:dyDescent="0.25">
      <c r="A14" s="382"/>
      <c r="B14" s="382"/>
      <c r="C14" s="382"/>
      <c r="D14" s="382"/>
    </row>
    <row r="15" spans="1:4" x14ac:dyDescent="0.25">
      <c r="A15" s="382"/>
      <c r="B15" s="382"/>
      <c r="C15" s="382"/>
      <c r="D15" s="382"/>
    </row>
    <row r="16" spans="1:4" x14ac:dyDescent="0.25">
      <c r="A16" s="382"/>
      <c r="B16" s="382"/>
      <c r="C16" s="382"/>
      <c r="D16" s="382"/>
    </row>
    <row r="17" spans="1:4" x14ac:dyDescent="0.25">
      <c r="A17" s="382"/>
      <c r="B17" s="382"/>
      <c r="C17" s="382"/>
      <c r="D17" s="382"/>
    </row>
    <row r="18" spans="1:4" x14ac:dyDescent="0.25">
      <c r="A18" s="382"/>
      <c r="B18" s="382"/>
      <c r="C18" s="382"/>
      <c r="D18" s="382"/>
    </row>
    <row r="19" spans="1:4" x14ac:dyDescent="0.25">
      <c r="A19" s="382"/>
      <c r="B19" s="382"/>
      <c r="C19" s="382"/>
      <c r="D19" s="382"/>
    </row>
    <row r="20" spans="1:4" x14ac:dyDescent="0.25">
      <c r="A20" s="382"/>
      <c r="B20" s="382"/>
      <c r="C20" s="382"/>
      <c r="D20" s="382"/>
    </row>
    <row r="21" spans="1:4" x14ac:dyDescent="0.25">
      <c r="A21" s="382"/>
      <c r="B21" s="382"/>
      <c r="C21" s="382"/>
      <c r="D21" s="382"/>
    </row>
    <row r="22" spans="1:4" x14ac:dyDescent="0.25">
      <c r="A22" s="382"/>
      <c r="B22" s="382"/>
      <c r="C22" s="382"/>
      <c r="D22" s="382"/>
    </row>
    <row r="23" spans="1:4" x14ac:dyDescent="0.25">
      <c r="A23" s="382"/>
      <c r="B23" s="382"/>
      <c r="C23" s="382"/>
      <c r="D23" s="382"/>
    </row>
    <row r="24" spans="1:4" x14ac:dyDescent="0.25">
      <c r="A24" s="382"/>
      <c r="B24" s="382"/>
      <c r="C24" s="382"/>
      <c r="D24" s="382"/>
    </row>
    <row r="25" spans="1:4" x14ac:dyDescent="0.25">
      <c r="A25" s="382"/>
      <c r="B25" s="382"/>
      <c r="C25" s="382"/>
      <c r="D25" s="382"/>
    </row>
    <row r="26" spans="1:4" x14ac:dyDescent="0.25">
      <c r="A26" s="382"/>
      <c r="B26" s="382"/>
      <c r="C26" s="382"/>
      <c r="D26" s="382"/>
    </row>
    <row r="27" spans="1:4" x14ac:dyDescent="0.25">
      <c r="A27" s="382"/>
      <c r="B27" s="382"/>
      <c r="C27" s="382"/>
      <c r="D27" s="382"/>
    </row>
    <row r="28" spans="1:4" x14ac:dyDescent="0.25">
      <c r="A28" s="382"/>
      <c r="B28" s="382"/>
      <c r="C28" s="382"/>
      <c r="D28" s="382"/>
    </row>
    <row r="29" spans="1:4" x14ac:dyDescent="0.25">
      <c r="A29" s="382"/>
      <c r="B29" s="382"/>
      <c r="C29" s="382"/>
      <c r="D29" s="382"/>
    </row>
    <row r="30" spans="1:4" x14ac:dyDescent="0.25">
      <c r="A30" s="382"/>
      <c r="B30" s="382"/>
      <c r="C30" s="382"/>
      <c r="D30" s="382"/>
    </row>
    <row r="31" spans="1:4" x14ac:dyDescent="0.25">
      <c r="A31" s="382"/>
      <c r="B31" s="382"/>
      <c r="C31" s="382"/>
      <c r="D31" s="382"/>
    </row>
    <row r="32" spans="1:4" x14ac:dyDescent="0.25">
      <c r="A32" s="382"/>
      <c r="B32" s="382"/>
      <c r="C32" s="382"/>
      <c r="D32" s="382"/>
    </row>
    <row r="33" spans="1:4" x14ac:dyDescent="0.25">
      <c r="A33" s="382"/>
      <c r="B33" s="382"/>
      <c r="C33" s="382"/>
      <c r="D33" s="382"/>
    </row>
    <row r="34" spans="1:4" x14ac:dyDescent="0.25">
      <c r="A34" s="382"/>
      <c r="B34" s="382"/>
      <c r="C34" s="382"/>
      <c r="D34" s="382"/>
    </row>
    <row r="35" spans="1:4" x14ac:dyDescent="0.25">
      <c r="A35" s="382"/>
      <c r="B35" s="382"/>
      <c r="C35" s="382"/>
      <c r="D35" s="382"/>
    </row>
    <row r="36" spans="1:4" x14ac:dyDescent="0.25">
      <c r="A36" s="382"/>
      <c r="B36" s="382"/>
      <c r="C36" s="382"/>
      <c r="D36" s="382"/>
    </row>
    <row r="37" spans="1:4" x14ac:dyDescent="0.25">
      <c r="A37" s="382"/>
      <c r="B37" s="382"/>
      <c r="C37" s="382"/>
      <c r="D37" s="382"/>
    </row>
    <row r="38" spans="1:4" x14ac:dyDescent="0.25">
      <c r="A38" s="382"/>
      <c r="B38" s="382"/>
      <c r="C38" s="382"/>
      <c r="D38" s="382"/>
    </row>
    <row r="39" spans="1:4" x14ac:dyDescent="0.25">
      <c r="A39" s="382"/>
      <c r="B39" s="382"/>
      <c r="C39" s="382"/>
      <c r="D39" s="382"/>
    </row>
    <row r="40" spans="1:4" x14ac:dyDescent="0.25">
      <c r="A40" s="382"/>
      <c r="B40" s="382"/>
      <c r="C40" s="382"/>
      <c r="D40" s="382"/>
    </row>
    <row r="41" spans="1:4" x14ac:dyDescent="0.25">
      <c r="A41" s="382"/>
      <c r="B41" s="382"/>
      <c r="C41" s="382"/>
      <c r="D41" s="382"/>
    </row>
    <row r="42" spans="1:4" x14ac:dyDescent="0.25">
      <c r="A42" s="382"/>
      <c r="B42" s="382"/>
      <c r="C42" s="382"/>
      <c r="D42" s="382"/>
    </row>
    <row r="43" spans="1:4" x14ac:dyDescent="0.25">
      <c r="A43" s="382"/>
      <c r="B43" s="382"/>
      <c r="C43" s="382"/>
      <c r="D43" s="382"/>
    </row>
    <row r="44" spans="1:4" x14ac:dyDescent="0.25">
      <c r="A44" s="382"/>
      <c r="B44" s="382"/>
      <c r="C44" s="382"/>
      <c r="D44" s="382"/>
    </row>
    <row r="45" spans="1:4" x14ac:dyDescent="0.25">
      <c r="A45" s="382"/>
      <c r="B45" s="382"/>
      <c r="C45" s="382"/>
      <c r="D45" s="382"/>
    </row>
    <row r="46" spans="1:4" x14ac:dyDescent="0.25">
      <c r="A46" s="382"/>
      <c r="B46" s="382"/>
      <c r="C46" s="382"/>
      <c r="D46" s="382"/>
    </row>
  </sheetData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17"/>
  <sheetViews>
    <sheetView showGridLines="0" zoomScaleNormal="100" workbookViewId="0">
      <selection activeCell="N13" sqref="N13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1" width="10" style="325" bestFit="1" customWidth="1"/>
    <col min="12" max="16384" width="9" style="325"/>
  </cols>
  <sheetData>
    <row r="1" spans="1:11" ht="57.95" customHeight="1" thickBot="1" x14ac:dyDescent="0.3">
      <c r="A1" s="344"/>
      <c r="B1" s="343" t="s">
        <v>443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445</v>
      </c>
      <c r="E2" s="335" t="s">
        <v>448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 t="s">
        <v>510</v>
      </c>
    </row>
    <row r="3" spans="1:11" ht="33.950000000000003" customHeight="1" x14ac:dyDescent="0.25">
      <c r="B3" s="330">
        <v>1</v>
      </c>
      <c r="C3" s="333" t="s">
        <v>444</v>
      </c>
      <c r="D3" s="348" t="s">
        <v>447</v>
      </c>
      <c r="E3" s="333"/>
      <c r="F3" s="332"/>
      <c r="G3" s="332"/>
      <c r="H3" s="327"/>
      <c r="I3" s="327"/>
      <c r="J3" s="347">
        <v>6000</v>
      </c>
      <c r="K3" s="384">
        <f>SimpleInvoice[[#This Row],[Price]]/4</f>
        <v>1500</v>
      </c>
    </row>
    <row r="4" spans="1:11" ht="33.950000000000003" customHeight="1" x14ac:dyDescent="0.25">
      <c r="B4" s="330">
        <v>2</v>
      </c>
      <c r="C4" s="333" t="s">
        <v>449</v>
      </c>
      <c r="D4" s="333"/>
      <c r="E4" s="348" t="s">
        <v>447</v>
      </c>
      <c r="F4" s="332"/>
      <c r="G4" s="328"/>
      <c r="H4" s="327"/>
      <c r="I4" s="327"/>
      <c r="J4" s="349">
        <v>1200</v>
      </c>
      <c r="K4" s="384">
        <f>SimpleInvoice[[#This Row],[Price]]/4</f>
        <v>300</v>
      </c>
    </row>
    <row r="5" spans="1:11" ht="33.950000000000003" customHeight="1" x14ac:dyDescent="0.25">
      <c r="B5" s="330">
        <v>3</v>
      </c>
      <c r="C5" s="333" t="s">
        <v>482</v>
      </c>
      <c r="D5" s="329"/>
      <c r="E5" s="348" t="s">
        <v>447</v>
      </c>
      <c r="F5" s="332"/>
      <c r="G5" s="328"/>
      <c r="H5" s="327"/>
      <c r="I5" s="327"/>
      <c r="J5" s="349">
        <v>4000</v>
      </c>
      <c r="K5" s="384">
        <f>SimpleInvoice[[#This Row],[Price]]/4</f>
        <v>1000</v>
      </c>
    </row>
    <row r="6" spans="1:11" ht="33.950000000000003" customHeight="1" x14ac:dyDescent="0.25">
      <c r="B6" s="330">
        <v>4</v>
      </c>
      <c r="C6" s="381" t="s">
        <v>608</v>
      </c>
      <c r="D6" s="348" t="s">
        <v>447</v>
      </c>
      <c r="E6" s="329"/>
      <c r="F6" s="328"/>
      <c r="G6" s="328"/>
      <c r="H6" s="327"/>
      <c r="I6" s="327"/>
      <c r="J6" s="326">
        <v>4500</v>
      </c>
      <c r="K6" s="384">
        <f>SimpleInvoice[[#This Row],[Price]]/4</f>
        <v>1125</v>
      </c>
    </row>
    <row r="7" spans="1:11" ht="33.950000000000003" customHeight="1" x14ac:dyDescent="0.25">
      <c r="B7" s="330">
        <v>5</v>
      </c>
      <c r="C7" s="329"/>
      <c r="D7" s="329"/>
      <c r="E7" s="329"/>
      <c r="F7" s="328"/>
      <c r="G7" s="328"/>
      <c r="H7" s="327"/>
      <c r="I7" s="327"/>
      <c r="J7" s="326">
        <f t="shared" ref="J7:J17" si="0">IFERROR((F7*H7)-I7,"")</f>
        <v>0</v>
      </c>
      <c r="K7" s="331">
        <f>SimpleInvoice[[#This Row],[Price]]/4</f>
        <v>0</v>
      </c>
    </row>
    <row r="8" spans="1:11" ht="33.950000000000003" customHeight="1" x14ac:dyDescent="0.25">
      <c r="B8" s="330">
        <v>6</v>
      </c>
      <c r="C8" s="329"/>
      <c r="D8" s="329"/>
      <c r="E8" s="329"/>
      <c r="F8" s="328"/>
      <c r="G8" s="328"/>
      <c r="H8" s="327"/>
      <c r="I8" s="327"/>
      <c r="J8" s="326">
        <f t="shared" si="0"/>
        <v>0</v>
      </c>
      <c r="K8" s="331">
        <f>SimpleInvoice[[#This Row],[Price]]/4</f>
        <v>0</v>
      </c>
    </row>
    <row r="9" spans="1:11" ht="33.950000000000003" customHeight="1" x14ac:dyDescent="0.25">
      <c r="B9" s="330">
        <v>7</v>
      </c>
      <c r="C9" s="329"/>
      <c r="D9" s="329"/>
      <c r="E9" s="329"/>
      <c r="F9" s="328"/>
      <c r="G9" s="328"/>
      <c r="H9" s="327"/>
      <c r="I9" s="327"/>
      <c r="J9" s="326">
        <f t="shared" si="0"/>
        <v>0</v>
      </c>
      <c r="K9" s="331">
        <f>SimpleInvoice[[#This Row],[Price]]/4</f>
        <v>0</v>
      </c>
    </row>
    <row r="10" spans="1:11" ht="33.950000000000003" customHeight="1" x14ac:dyDescent="0.25">
      <c r="B10" s="330">
        <v>8</v>
      </c>
      <c r="C10" s="329"/>
      <c r="D10" s="329"/>
      <c r="E10" s="329"/>
      <c r="F10" s="328"/>
      <c r="G10" s="328"/>
      <c r="H10" s="327"/>
      <c r="I10" s="327"/>
      <c r="J10" s="326">
        <f t="shared" si="0"/>
        <v>0</v>
      </c>
      <c r="K10" s="331">
        <f>SimpleInvoice[[#This Row],[Price]]/4</f>
        <v>0</v>
      </c>
    </row>
    <row r="11" spans="1:11" ht="33.950000000000003" customHeight="1" x14ac:dyDescent="0.25">
      <c r="B11" s="330">
        <v>9</v>
      </c>
      <c r="C11" s="329"/>
      <c r="D11" s="329"/>
      <c r="E11" s="329"/>
      <c r="F11" s="328"/>
      <c r="G11" s="328"/>
      <c r="H11" s="327"/>
      <c r="I11" s="327"/>
      <c r="J11" s="326">
        <f t="shared" si="0"/>
        <v>0</v>
      </c>
      <c r="K11" s="331">
        <f>SimpleInvoice[[#This Row],[Price]]/4</f>
        <v>0</v>
      </c>
    </row>
    <row r="12" spans="1:11" ht="33.950000000000003" customHeight="1" x14ac:dyDescent="0.25">
      <c r="B12" s="330">
        <v>10</v>
      </c>
      <c r="C12" s="329"/>
      <c r="D12" s="329"/>
      <c r="E12" s="329"/>
      <c r="F12" s="328"/>
      <c r="G12" s="328"/>
      <c r="H12" s="327"/>
      <c r="I12" s="327"/>
      <c r="J12" s="326">
        <f t="shared" si="0"/>
        <v>0</v>
      </c>
      <c r="K12" s="331">
        <f>SimpleInvoice[[#This Row],[Price]]/4</f>
        <v>0</v>
      </c>
    </row>
    <row r="13" spans="1:11" ht="33.950000000000003" customHeight="1" x14ac:dyDescent="0.25">
      <c r="B13" s="330">
        <v>11</v>
      </c>
      <c r="C13" s="329"/>
      <c r="D13" s="329"/>
      <c r="E13" s="329"/>
      <c r="F13" s="328"/>
      <c r="G13" s="328"/>
      <c r="H13" s="327"/>
      <c r="I13" s="327"/>
      <c r="J13" s="326">
        <f t="shared" si="0"/>
        <v>0</v>
      </c>
      <c r="K13" s="331">
        <f>SimpleInvoice[[#This Row],[Price]]/4</f>
        <v>0</v>
      </c>
    </row>
    <row r="14" spans="1:11" ht="33.950000000000003" customHeight="1" x14ac:dyDescent="0.25">
      <c r="B14" s="330">
        <v>12</v>
      </c>
      <c r="C14" s="329"/>
      <c r="D14" s="329"/>
      <c r="E14" s="329"/>
      <c r="F14" s="328"/>
      <c r="G14" s="328"/>
      <c r="H14" s="327"/>
      <c r="I14" s="327"/>
      <c r="J14" s="326">
        <f t="shared" si="0"/>
        <v>0</v>
      </c>
      <c r="K14" s="331">
        <f>SimpleInvoice[[#This Row],[Price]]/4</f>
        <v>0</v>
      </c>
    </row>
    <row r="15" spans="1:11" ht="33.950000000000003" customHeight="1" x14ac:dyDescent="0.25">
      <c r="B15" s="330">
        <v>13</v>
      </c>
      <c r="C15" s="329"/>
      <c r="D15" s="329"/>
      <c r="E15" s="329"/>
      <c r="F15" s="328"/>
      <c r="G15" s="328"/>
      <c r="H15" s="327"/>
      <c r="I15" s="327"/>
      <c r="J15" s="326">
        <f t="shared" si="0"/>
        <v>0</v>
      </c>
      <c r="K15" s="325">
        <f>SimpleInvoice[[#This Row],[Price]]/4</f>
        <v>0</v>
      </c>
    </row>
    <row r="16" spans="1:11" ht="33.950000000000003" customHeight="1" x14ac:dyDescent="0.25">
      <c r="B16" s="330">
        <v>14</v>
      </c>
      <c r="C16" s="329"/>
      <c r="D16" s="329"/>
      <c r="E16" s="329"/>
      <c r="F16" s="328"/>
      <c r="G16" s="328"/>
      <c r="H16" s="327"/>
      <c r="I16" s="327"/>
      <c r="J16" s="326">
        <f t="shared" si="0"/>
        <v>0</v>
      </c>
      <c r="K16" s="325">
        <f>SimpleInvoice[[#This Row],[Price]]/4</f>
        <v>0</v>
      </c>
    </row>
    <row r="17" spans="2:11" ht="33.950000000000003" customHeight="1" x14ac:dyDescent="0.25">
      <c r="B17" s="330">
        <v>15</v>
      </c>
      <c r="C17" s="329"/>
      <c r="D17" s="329"/>
      <c r="E17" s="329"/>
      <c r="F17" s="328"/>
      <c r="G17" s="328"/>
      <c r="H17" s="327"/>
      <c r="I17" s="327"/>
      <c r="J17" s="326">
        <f t="shared" si="0"/>
        <v>0</v>
      </c>
      <c r="K17" s="325">
        <f>SimpleInvoice[[#This Row],[Price]]/4</f>
        <v>0</v>
      </c>
    </row>
  </sheetData>
  <sheetProtection formatCells="0" formatColumns="0" formatRows="0" selectLockedCells="1" sort="0"/>
  <conditionalFormatting sqref="J3:J17">
    <cfRule type="expression" dxfId="189" priority="5">
      <formula>MOD(ROW(),2)=1</formula>
    </cfRule>
  </conditionalFormatting>
  <conditionalFormatting sqref="J3:J17">
    <cfRule type="expression" dxfId="188" priority="6">
      <formula>MOD(ROW(),2)=0</formula>
    </cfRule>
  </conditionalFormatting>
  <conditionalFormatting sqref="J15">
    <cfRule type="expression" dxfId="187" priority="3">
      <formula>MOD(ROW(),2)=1</formula>
    </cfRule>
  </conditionalFormatting>
  <conditionalFormatting sqref="J15">
    <cfRule type="expression" dxfId="186" priority="4">
      <formula>MOD(ROW(),2)=0</formula>
    </cfRule>
  </conditionalFormatting>
  <conditionalFormatting sqref="J16:J17">
    <cfRule type="expression" dxfId="185" priority="1">
      <formula>MOD(ROW(),2)=1</formula>
    </cfRule>
  </conditionalFormatting>
  <conditionalFormatting sqref="J16:J17">
    <cfRule type="expression" dxfId="184" priority="2">
      <formula>MOD(ROW(),2)=0</formula>
    </cfRule>
  </conditionalFormatting>
  <dataValidations count="7">
    <dataValidation allowBlank="1" showInputMessage="1" showErrorMessage="1" prompt="Enter Description in this column under this heading" sqref="C2:E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"/>
    <dataValidation allowBlank="1" showInputMessage="1" showErrorMessage="1" prompt="Enter Unit Price in this column under this heading" sqref="F2:G2"/>
    <dataValidation allowBlank="1" showInputMessage="1" showErrorMessage="1" prompt="Enter Discount in this column under this heading" sqref="H2:I2"/>
    <dataValidation allowBlank="1" showInputMessage="1" showErrorMessage="1" prompt="Enter Price in this column under this heading" sqref="J2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36"/>
  <sheetViews>
    <sheetView showGridLines="0" zoomScaleNormal="100" workbookViewId="0">
      <selection activeCell="M8" sqref="M8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6384" width="9" style="325"/>
  </cols>
  <sheetData>
    <row r="1" spans="1:11" ht="57.95" customHeight="1" thickBot="1" x14ac:dyDescent="0.3">
      <c r="A1" s="344"/>
      <c r="B1" s="343" t="s">
        <v>454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453</v>
      </c>
      <c r="E2" s="335" t="s">
        <v>434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/>
    </row>
    <row r="3" spans="1:11" ht="27" customHeight="1" x14ac:dyDescent="0.25">
      <c r="B3" s="403"/>
      <c r="C3" s="406" t="s">
        <v>552</v>
      </c>
      <c r="D3" s="404"/>
      <c r="E3" s="404"/>
      <c r="F3" s="334"/>
      <c r="G3" s="405"/>
      <c r="H3" s="334"/>
      <c r="I3" s="334"/>
      <c r="J3" s="334">
        <v>57000</v>
      </c>
      <c r="K3" s="331"/>
    </row>
    <row r="4" spans="1:11" ht="33.950000000000003" customHeight="1" x14ac:dyDescent="0.25">
      <c r="B4" s="330">
        <v>1</v>
      </c>
      <c r="C4" s="333" t="s">
        <v>452</v>
      </c>
      <c r="D4" s="348" t="s">
        <v>476</v>
      </c>
      <c r="E4" s="333"/>
      <c r="F4" s="332"/>
      <c r="G4" s="332"/>
      <c r="H4" s="327"/>
      <c r="I4" s="327"/>
      <c r="J4" s="349">
        <v>50000</v>
      </c>
      <c r="K4" s="331"/>
    </row>
    <row r="5" spans="1:11" ht="33.950000000000003" customHeight="1" x14ac:dyDescent="0.25">
      <c r="B5" s="330">
        <v>2</v>
      </c>
      <c r="C5" s="333" t="s">
        <v>451</v>
      </c>
      <c r="D5" s="333" t="s">
        <v>477</v>
      </c>
      <c r="E5" s="333"/>
      <c r="F5" s="332"/>
      <c r="G5" s="328"/>
      <c r="H5" s="327"/>
      <c r="I5" s="327"/>
      <c r="J5" s="349">
        <v>8000</v>
      </c>
      <c r="K5" s="331"/>
    </row>
    <row r="6" spans="1:11" ht="33.950000000000003" customHeight="1" x14ac:dyDescent="0.25">
      <c r="B6" s="330">
        <v>3</v>
      </c>
      <c r="C6" s="333" t="s">
        <v>478</v>
      </c>
      <c r="D6" s="329"/>
      <c r="E6" s="348" t="s">
        <v>457</v>
      </c>
      <c r="F6" s="348" t="s">
        <v>479</v>
      </c>
      <c r="G6" s="328"/>
      <c r="H6" s="327"/>
      <c r="I6" s="327"/>
      <c r="J6" s="326"/>
      <c r="K6" s="331"/>
    </row>
    <row r="7" spans="1:11" ht="33.950000000000003" customHeight="1" x14ac:dyDescent="0.25">
      <c r="B7" s="330">
        <v>4</v>
      </c>
      <c r="C7" s="333" t="s">
        <v>483</v>
      </c>
      <c r="D7" s="348" t="s">
        <v>476</v>
      </c>
      <c r="E7" s="329"/>
      <c r="F7" s="328"/>
      <c r="G7" s="328"/>
      <c r="H7" s="327"/>
      <c r="I7" s="327"/>
      <c r="J7" s="349">
        <v>40000</v>
      </c>
      <c r="K7" s="331"/>
    </row>
    <row r="8" spans="1:11" ht="33.950000000000003" customHeight="1" x14ac:dyDescent="0.25">
      <c r="B8" s="330">
        <v>5</v>
      </c>
      <c r="C8" s="333" t="s">
        <v>506</v>
      </c>
      <c r="D8" s="329"/>
      <c r="E8" s="348" t="s">
        <v>457</v>
      </c>
      <c r="F8" s="328"/>
      <c r="G8" s="328"/>
      <c r="H8" s="327"/>
      <c r="I8" s="327"/>
      <c r="J8" s="326"/>
      <c r="K8" s="331"/>
    </row>
    <row r="9" spans="1:11" ht="33.950000000000003" customHeight="1" x14ac:dyDescent="0.25">
      <c r="B9" s="330">
        <v>6</v>
      </c>
      <c r="C9" s="333" t="s">
        <v>507</v>
      </c>
      <c r="D9" s="329"/>
      <c r="E9" s="333" t="s">
        <v>477</v>
      </c>
      <c r="F9" s="328"/>
      <c r="G9" s="328"/>
      <c r="H9" s="327"/>
      <c r="I9" s="327"/>
      <c r="J9" s="326"/>
      <c r="K9" s="331"/>
    </row>
    <row r="10" spans="1:11" ht="33.950000000000003" customHeight="1" x14ac:dyDescent="0.25">
      <c r="B10" s="330">
        <v>7</v>
      </c>
      <c r="C10" s="333" t="s">
        <v>508</v>
      </c>
      <c r="D10" s="329"/>
      <c r="E10" s="348" t="s">
        <v>447</v>
      </c>
      <c r="F10" s="328"/>
      <c r="G10" s="328"/>
      <c r="H10" s="327"/>
      <c r="I10" s="327"/>
      <c r="J10" s="326"/>
      <c r="K10" s="331"/>
    </row>
    <row r="11" spans="1:11" ht="33.950000000000003" customHeight="1" x14ac:dyDescent="0.25">
      <c r="B11" s="330">
        <v>8</v>
      </c>
      <c r="C11" s="333" t="s">
        <v>509</v>
      </c>
      <c r="D11" s="329"/>
      <c r="E11" s="333" t="s">
        <v>477</v>
      </c>
      <c r="F11" s="328"/>
      <c r="G11" s="328"/>
      <c r="H11" s="327"/>
      <c r="I11" s="327"/>
      <c r="J11" s="326"/>
      <c r="K11" s="331"/>
    </row>
    <row r="12" spans="1:11" ht="33.950000000000003" customHeight="1" x14ac:dyDescent="0.25">
      <c r="B12" s="330">
        <v>9</v>
      </c>
      <c r="C12" s="329"/>
      <c r="D12" s="329"/>
      <c r="E12" s="329"/>
      <c r="F12" s="328"/>
      <c r="G12" s="328"/>
      <c r="H12" s="327"/>
      <c r="I12" s="327"/>
      <c r="J12" s="326"/>
      <c r="K12" s="331"/>
    </row>
    <row r="13" spans="1:11" ht="33.950000000000003" customHeight="1" x14ac:dyDescent="0.25">
      <c r="B13" s="330">
        <v>10</v>
      </c>
      <c r="C13" s="329"/>
      <c r="D13" s="329"/>
      <c r="E13" s="329"/>
      <c r="F13" s="328"/>
      <c r="G13" s="328"/>
      <c r="H13" s="327"/>
      <c r="I13" s="327"/>
      <c r="J13" s="326"/>
      <c r="K13" s="331"/>
    </row>
    <row r="14" spans="1:11" ht="33.950000000000003" customHeight="1" x14ac:dyDescent="0.25">
      <c r="B14" s="330">
        <v>11</v>
      </c>
      <c r="C14" s="329"/>
      <c r="D14" s="329"/>
      <c r="E14" s="329"/>
      <c r="F14" s="328"/>
      <c r="G14" s="328"/>
      <c r="H14" s="327"/>
      <c r="I14" s="327"/>
      <c r="J14" s="326">
        <f>IFERROR((F14*H14)-I14,"")</f>
        <v>0</v>
      </c>
      <c r="K14" s="331"/>
    </row>
    <row r="15" spans="1:11" ht="33.950000000000003" customHeight="1" x14ac:dyDescent="0.25">
      <c r="B15" s="330">
        <v>12</v>
      </c>
      <c r="C15" s="329"/>
      <c r="D15" s="329"/>
      <c r="E15" s="329"/>
      <c r="F15" s="328"/>
      <c r="G15" s="328"/>
      <c r="H15" s="327"/>
      <c r="I15" s="327"/>
      <c r="J15" s="326">
        <f>IFERROR((F15*H15)-I15,"")</f>
        <v>0</v>
      </c>
      <c r="K15" s="331"/>
    </row>
    <row r="16" spans="1:11" ht="33.950000000000003" customHeight="1" x14ac:dyDescent="0.25">
      <c r="B16" s="330">
        <v>13</v>
      </c>
      <c r="C16" s="329"/>
      <c r="D16" s="329"/>
      <c r="E16" s="329"/>
      <c r="F16" s="328"/>
      <c r="G16" s="328"/>
      <c r="H16" s="327"/>
      <c r="I16" s="327"/>
      <c r="J16" s="326">
        <f>IFERROR((F16*H16)-I16,"")</f>
        <v>0</v>
      </c>
    </row>
    <row r="17" spans="2:10" ht="33.950000000000003" customHeight="1" x14ac:dyDescent="0.25">
      <c r="B17" s="330">
        <v>14</v>
      </c>
      <c r="C17" s="329"/>
      <c r="D17" s="329"/>
      <c r="E17" s="329"/>
      <c r="F17" s="328"/>
      <c r="G17" s="328"/>
      <c r="H17" s="327"/>
      <c r="I17" s="327"/>
      <c r="J17" s="326">
        <f>IFERROR((F17*H17)-I17,"")</f>
        <v>0</v>
      </c>
    </row>
    <row r="18" spans="2:10" ht="33.950000000000003" customHeight="1" x14ac:dyDescent="0.25">
      <c r="B18" s="330">
        <v>15</v>
      </c>
      <c r="C18" s="329"/>
      <c r="D18" s="329"/>
      <c r="E18" s="329"/>
      <c r="F18" s="328"/>
      <c r="G18" s="328"/>
      <c r="H18" s="327"/>
      <c r="I18" s="327"/>
      <c r="J18" s="326"/>
    </row>
    <row r="22" spans="2:10" ht="33.950000000000003" customHeight="1" x14ac:dyDescent="0.25">
      <c r="B22" s="356">
        <v>16</v>
      </c>
      <c r="C22" s="361"/>
      <c r="D22" s="361"/>
      <c r="E22" s="361"/>
      <c r="F22" s="345"/>
      <c r="G22" s="345"/>
      <c r="H22" s="353"/>
      <c r="I22" s="353"/>
      <c r="J22" s="364"/>
    </row>
    <row r="23" spans="2:10" ht="33.950000000000003" customHeight="1" x14ac:dyDescent="0.25">
      <c r="B23" s="356">
        <v>17</v>
      </c>
      <c r="C23" s="363"/>
      <c r="D23" s="363"/>
      <c r="E23" s="363"/>
      <c r="F23" s="346"/>
      <c r="G23" s="359"/>
      <c r="H23" s="358"/>
      <c r="I23" s="358"/>
      <c r="J23" s="362"/>
    </row>
    <row r="24" spans="2:10" ht="33.950000000000003" customHeight="1" x14ac:dyDescent="0.25">
      <c r="B24" s="356">
        <v>18</v>
      </c>
      <c r="C24" s="361"/>
      <c r="D24" s="355"/>
      <c r="E24" s="355"/>
      <c r="F24" s="345"/>
      <c r="G24" s="354"/>
      <c r="H24" s="353"/>
      <c r="I24" s="353"/>
      <c r="J24" s="352"/>
    </row>
    <row r="25" spans="2:10" ht="33.950000000000003" customHeight="1" x14ac:dyDescent="0.25">
      <c r="B25" s="356">
        <v>19</v>
      </c>
      <c r="C25" s="360"/>
      <c r="D25" s="360"/>
      <c r="E25" s="360"/>
      <c r="F25" s="359"/>
      <c r="G25" s="359"/>
      <c r="H25" s="358"/>
      <c r="I25" s="358"/>
      <c r="J25" s="357"/>
    </row>
    <row r="26" spans="2:10" ht="33.950000000000003" customHeight="1" x14ac:dyDescent="0.25">
      <c r="B26" s="356">
        <v>20</v>
      </c>
      <c r="C26" s="355"/>
      <c r="D26" s="355"/>
      <c r="E26" s="355"/>
      <c r="F26" s="354"/>
      <c r="G26" s="354"/>
      <c r="H26" s="353"/>
      <c r="I26" s="353"/>
      <c r="J26" s="352"/>
    </row>
    <row r="27" spans="2:10" ht="33.950000000000003" customHeight="1" x14ac:dyDescent="0.25">
      <c r="B27" s="356">
        <v>21</v>
      </c>
      <c r="C27" s="360"/>
      <c r="D27" s="360"/>
      <c r="E27" s="360"/>
      <c r="F27" s="359"/>
      <c r="G27" s="359"/>
      <c r="H27" s="358"/>
      <c r="I27" s="358"/>
      <c r="J27" s="357"/>
    </row>
    <row r="28" spans="2:10" ht="33.950000000000003" customHeight="1" x14ac:dyDescent="0.25">
      <c r="B28" s="356">
        <v>22</v>
      </c>
      <c r="C28" s="355"/>
      <c r="D28" s="355"/>
      <c r="E28" s="355"/>
      <c r="F28" s="354"/>
      <c r="G28" s="354"/>
      <c r="H28" s="353"/>
      <c r="I28" s="353"/>
      <c r="J28" s="352"/>
    </row>
    <row r="29" spans="2:10" ht="33.950000000000003" customHeight="1" x14ac:dyDescent="0.25">
      <c r="B29" s="356">
        <v>23</v>
      </c>
      <c r="C29" s="360"/>
      <c r="D29" s="360"/>
      <c r="E29" s="360"/>
      <c r="F29" s="359"/>
      <c r="G29" s="359"/>
      <c r="H29" s="358"/>
      <c r="I29" s="358"/>
      <c r="J29" s="357"/>
    </row>
    <row r="30" spans="2:10" ht="33.950000000000003" customHeight="1" x14ac:dyDescent="0.25">
      <c r="B30" s="356">
        <v>24</v>
      </c>
      <c r="C30" s="355"/>
      <c r="D30" s="355"/>
      <c r="E30" s="355"/>
      <c r="F30" s="354"/>
      <c r="G30" s="354"/>
      <c r="H30" s="353"/>
      <c r="I30" s="353"/>
      <c r="J30" s="352"/>
    </row>
    <row r="31" spans="2:10" ht="33.950000000000003" customHeight="1" x14ac:dyDescent="0.25">
      <c r="B31" s="356">
        <v>25</v>
      </c>
      <c r="C31" s="360"/>
      <c r="D31" s="360"/>
      <c r="E31" s="360"/>
      <c r="F31" s="359"/>
      <c r="G31" s="359"/>
      <c r="H31" s="358"/>
      <c r="I31" s="358"/>
      <c r="J31" s="357"/>
    </row>
    <row r="32" spans="2:10" ht="33.950000000000003" customHeight="1" x14ac:dyDescent="0.25">
      <c r="B32" s="356">
        <v>26</v>
      </c>
      <c r="C32" s="355"/>
      <c r="D32" s="355"/>
      <c r="E32" s="355"/>
      <c r="F32" s="354"/>
      <c r="G32" s="354"/>
      <c r="H32" s="353"/>
      <c r="I32" s="353"/>
      <c r="J32" s="352"/>
    </row>
    <row r="33" spans="2:10" ht="33.950000000000003" customHeight="1" x14ac:dyDescent="0.25">
      <c r="B33" s="356">
        <v>27</v>
      </c>
      <c r="C33" s="360"/>
      <c r="D33" s="360"/>
      <c r="E33" s="360"/>
      <c r="F33" s="359"/>
      <c r="G33" s="359"/>
      <c r="H33" s="358"/>
      <c r="I33" s="358"/>
      <c r="J33" s="357"/>
    </row>
    <row r="34" spans="2:10" ht="33.950000000000003" customHeight="1" x14ac:dyDescent="0.25">
      <c r="B34" s="356">
        <v>28</v>
      </c>
      <c r="C34" s="355"/>
      <c r="D34" s="355"/>
      <c r="E34" s="355"/>
      <c r="F34" s="354"/>
      <c r="G34" s="354"/>
      <c r="H34" s="353"/>
      <c r="I34" s="353"/>
      <c r="J34" s="352"/>
    </row>
    <row r="35" spans="2:10" ht="33.950000000000003" customHeight="1" x14ac:dyDescent="0.25">
      <c r="B35" s="356">
        <v>29</v>
      </c>
      <c r="C35" s="360"/>
      <c r="D35" s="360"/>
      <c r="E35" s="360"/>
      <c r="F35" s="359"/>
      <c r="G35" s="359"/>
      <c r="H35" s="358"/>
      <c r="I35" s="358"/>
      <c r="J35" s="357"/>
    </row>
    <row r="36" spans="2:10" ht="33.950000000000003" customHeight="1" x14ac:dyDescent="0.25">
      <c r="B36" s="356">
        <v>30</v>
      </c>
      <c r="C36" s="355"/>
      <c r="D36" s="355"/>
      <c r="E36" s="355"/>
      <c r="F36" s="354"/>
      <c r="G36" s="354"/>
      <c r="H36" s="353"/>
      <c r="I36" s="353"/>
      <c r="J36" s="352"/>
    </row>
  </sheetData>
  <sheetProtection formatCells="0" formatColumns="0" formatRows="0" selectLockedCells="1" sort="0"/>
  <conditionalFormatting sqref="J3:J18">
    <cfRule type="expression" dxfId="178" priority="11">
      <formula>MOD(ROW(),2)=1</formula>
    </cfRule>
  </conditionalFormatting>
  <conditionalFormatting sqref="J3:J18">
    <cfRule type="expression" dxfId="177" priority="12">
      <formula>MOD(ROW(),2)=0</formula>
    </cfRule>
  </conditionalFormatting>
  <conditionalFormatting sqref="J16">
    <cfRule type="expression" dxfId="176" priority="9">
      <formula>MOD(ROW(),2)=1</formula>
    </cfRule>
  </conditionalFormatting>
  <conditionalFormatting sqref="J16">
    <cfRule type="expression" dxfId="175" priority="10">
      <formula>MOD(ROW(),2)=0</formula>
    </cfRule>
  </conditionalFormatting>
  <conditionalFormatting sqref="J17:J18">
    <cfRule type="expression" dxfId="174" priority="7">
      <formula>MOD(ROW(),2)=1</formula>
    </cfRule>
  </conditionalFormatting>
  <conditionalFormatting sqref="J17:J18">
    <cfRule type="expression" dxfId="173" priority="8">
      <formula>MOD(ROW(),2)=0</formula>
    </cfRule>
  </conditionalFormatting>
  <conditionalFormatting sqref="J22:J36">
    <cfRule type="expression" dxfId="172" priority="5">
      <formula>MOD(ROW(),2)=1</formula>
    </cfRule>
  </conditionalFormatting>
  <conditionalFormatting sqref="J22:J36">
    <cfRule type="expression" dxfId="171" priority="6">
      <formula>MOD(ROW(),2)=0</formula>
    </cfRule>
  </conditionalFormatting>
  <conditionalFormatting sqref="J34">
    <cfRule type="expression" dxfId="170" priority="3">
      <formula>MOD(ROW(),2)=1</formula>
    </cfRule>
  </conditionalFormatting>
  <conditionalFormatting sqref="J34">
    <cfRule type="expression" dxfId="169" priority="4">
      <formula>MOD(ROW(),2)=0</formula>
    </cfRule>
  </conditionalFormatting>
  <conditionalFormatting sqref="J35:J36">
    <cfRule type="expression" dxfId="168" priority="1">
      <formula>MOD(ROW(),2)=1</formula>
    </cfRule>
  </conditionalFormatting>
  <conditionalFormatting sqref="J35:J36">
    <cfRule type="expression" dxfId="167" priority="2">
      <formula>MOD(ROW(),2)=0</formula>
    </cfRule>
  </conditionalFormatting>
  <dataValidations count="7">
    <dataValidation allowBlank="1" showInputMessage="1" showErrorMessage="1" prompt="Enter Description in this column under this heading" sqref="C2:E3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:B3"/>
    <dataValidation allowBlank="1" showInputMessage="1" showErrorMessage="1" prompt="Enter Unit Price in this column under this heading" sqref="F2:G3"/>
    <dataValidation allowBlank="1" showInputMessage="1" showErrorMessage="1" prompt="Enter Discount in this column under this heading" sqref="H2:I3"/>
    <dataValidation allowBlank="1" showInputMessage="1" showErrorMessage="1" prompt="Enter Price in this column under this heading" sqref="J2:J3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41"/>
  <sheetViews>
    <sheetView showGridLines="0" zoomScaleNormal="100" workbookViewId="0">
      <selection activeCell="B4" sqref="B4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6384" width="9" style="325"/>
  </cols>
  <sheetData>
    <row r="1" spans="1:11" ht="57.95" customHeight="1" thickBot="1" x14ac:dyDescent="0.3">
      <c r="A1" s="344"/>
      <c r="B1" s="343" t="s">
        <v>464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463</v>
      </c>
      <c r="E2" s="335" t="s">
        <v>462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/>
    </row>
    <row r="3" spans="1:11" ht="51" customHeight="1" x14ac:dyDescent="0.25">
      <c r="B3" s="407"/>
      <c r="C3" s="406" t="s">
        <v>553</v>
      </c>
      <c r="D3" s="333" t="s">
        <v>459</v>
      </c>
      <c r="E3" s="408"/>
      <c r="F3" s="334"/>
      <c r="G3" s="409"/>
      <c r="H3" s="334"/>
      <c r="I3" s="334"/>
      <c r="J3" s="334">
        <v>57000</v>
      </c>
      <c r="K3" s="331"/>
    </row>
    <row r="4" spans="1:11" ht="33.950000000000003" customHeight="1" x14ac:dyDescent="0.25">
      <c r="B4" s="330">
        <v>1</v>
      </c>
      <c r="C4" s="333" t="s">
        <v>461</v>
      </c>
      <c r="D4" s="333" t="s">
        <v>459</v>
      </c>
      <c r="E4" s="333"/>
      <c r="F4" s="332"/>
      <c r="G4" s="332"/>
      <c r="H4" s="327"/>
      <c r="I4" s="327"/>
      <c r="J4" s="349">
        <v>80000</v>
      </c>
      <c r="K4" s="331"/>
    </row>
    <row r="5" spans="1:11" ht="33.950000000000003" customHeight="1" x14ac:dyDescent="0.25">
      <c r="B5" s="330">
        <v>2</v>
      </c>
      <c r="C5" s="333" t="s">
        <v>460</v>
      </c>
      <c r="D5" s="333" t="s">
        <v>459</v>
      </c>
      <c r="E5" s="333"/>
      <c r="F5" s="332"/>
      <c r="G5" s="328"/>
      <c r="H5" s="327"/>
      <c r="I5" s="327"/>
      <c r="J5" s="349">
        <v>20000</v>
      </c>
      <c r="K5" s="331"/>
    </row>
    <row r="6" spans="1:11" ht="33.950000000000003" customHeight="1" x14ac:dyDescent="0.25">
      <c r="B6" s="330">
        <v>3</v>
      </c>
      <c r="C6" s="333" t="s">
        <v>458</v>
      </c>
      <c r="D6" s="333"/>
      <c r="E6" s="371" t="s">
        <v>457</v>
      </c>
      <c r="F6" s="332"/>
      <c r="G6" s="328"/>
      <c r="H6" s="327"/>
      <c r="I6" s="327"/>
      <c r="J6" s="349">
        <v>30000</v>
      </c>
      <c r="K6" s="331"/>
    </row>
    <row r="7" spans="1:11" ht="33.950000000000003" customHeight="1" x14ac:dyDescent="0.25">
      <c r="B7" s="330">
        <v>4</v>
      </c>
      <c r="C7" s="333" t="s">
        <v>456</v>
      </c>
      <c r="D7" s="329"/>
      <c r="E7" s="329"/>
      <c r="F7" s="328"/>
      <c r="G7" s="328"/>
      <c r="H7" s="327"/>
      <c r="I7" s="327"/>
      <c r="J7" s="326">
        <f>IFERROR((F7*H7)-I7,"")</f>
        <v>0</v>
      </c>
      <c r="K7" s="331"/>
    </row>
    <row r="8" spans="1:11" ht="33.950000000000003" customHeight="1" x14ac:dyDescent="0.25">
      <c r="B8" s="330">
        <v>5</v>
      </c>
      <c r="C8" s="333" t="s">
        <v>455</v>
      </c>
      <c r="D8" s="333"/>
      <c r="E8" s="329"/>
      <c r="F8" s="370"/>
      <c r="G8" s="328"/>
      <c r="H8" s="327"/>
      <c r="I8" s="327"/>
      <c r="J8" s="326">
        <f>IFERROR((F8*H8)-I8,"")</f>
        <v>0</v>
      </c>
      <c r="K8" s="331"/>
    </row>
    <row r="9" spans="1:11" ht="33.950000000000003" customHeight="1" x14ac:dyDescent="0.25">
      <c r="B9" s="330">
        <v>6</v>
      </c>
      <c r="C9" s="333" t="s">
        <v>483</v>
      </c>
      <c r="D9" s="333" t="s">
        <v>459</v>
      </c>
      <c r="E9" s="329"/>
      <c r="F9" s="328"/>
      <c r="G9" s="328"/>
      <c r="H9" s="327"/>
      <c r="I9" s="327"/>
      <c r="J9" s="349">
        <v>30000</v>
      </c>
      <c r="K9" s="331"/>
    </row>
    <row r="10" spans="1:11" ht="33.950000000000003" customHeight="1" x14ac:dyDescent="0.25">
      <c r="B10" s="330">
        <v>7</v>
      </c>
      <c r="C10" s="369"/>
      <c r="D10" s="329"/>
      <c r="E10" s="329"/>
      <c r="F10" s="328"/>
      <c r="G10" s="328"/>
      <c r="H10" s="327"/>
      <c r="I10" s="327"/>
      <c r="J10" s="326">
        <f t="shared" ref="J10:J41" si="0">IFERROR((F10*H10)-I10,"")</f>
        <v>0</v>
      </c>
      <c r="K10" s="331"/>
    </row>
    <row r="11" spans="1:11" ht="33.950000000000003" customHeight="1" x14ac:dyDescent="0.25">
      <c r="B11" s="330">
        <v>8</v>
      </c>
      <c r="C11" s="369"/>
      <c r="D11" s="329"/>
      <c r="E11" s="329"/>
      <c r="F11" s="328"/>
      <c r="G11" s="328"/>
      <c r="H11" s="327"/>
      <c r="I11" s="327"/>
      <c r="J11" s="326">
        <f t="shared" si="0"/>
        <v>0</v>
      </c>
      <c r="K11" s="331"/>
    </row>
    <row r="12" spans="1:11" ht="33.950000000000003" customHeight="1" x14ac:dyDescent="0.25">
      <c r="B12" s="330">
        <v>9</v>
      </c>
      <c r="C12" s="369"/>
      <c r="D12" s="329"/>
      <c r="E12" s="329"/>
      <c r="F12" s="328"/>
      <c r="G12" s="328"/>
      <c r="H12" s="327"/>
      <c r="I12" s="327"/>
      <c r="J12" s="326">
        <f t="shared" si="0"/>
        <v>0</v>
      </c>
      <c r="K12" s="331"/>
    </row>
    <row r="13" spans="1:11" ht="33.950000000000003" customHeight="1" x14ac:dyDescent="0.25">
      <c r="B13" s="330">
        <v>10</v>
      </c>
      <c r="C13" s="369"/>
      <c r="D13" s="329"/>
      <c r="E13" s="329"/>
      <c r="F13" s="328"/>
      <c r="G13" s="328"/>
      <c r="H13" s="327"/>
      <c r="I13" s="327"/>
      <c r="J13" s="326">
        <f t="shared" si="0"/>
        <v>0</v>
      </c>
      <c r="K13" s="331"/>
    </row>
    <row r="14" spans="1:11" ht="33.950000000000003" customHeight="1" x14ac:dyDescent="0.25">
      <c r="B14" s="330">
        <v>11</v>
      </c>
      <c r="C14" s="369"/>
      <c r="D14" s="329"/>
      <c r="E14" s="329"/>
      <c r="F14" s="328"/>
      <c r="G14" s="328"/>
      <c r="H14" s="327"/>
      <c r="I14" s="327"/>
      <c r="J14" s="326">
        <f t="shared" si="0"/>
        <v>0</v>
      </c>
      <c r="K14" s="331"/>
    </row>
    <row r="15" spans="1:11" ht="33.950000000000003" customHeight="1" x14ac:dyDescent="0.25">
      <c r="B15" s="330">
        <v>12</v>
      </c>
      <c r="C15" s="369"/>
      <c r="D15" s="329"/>
      <c r="E15" s="329"/>
      <c r="F15" s="328"/>
      <c r="G15" s="328"/>
      <c r="H15" s="327"/>
      <c r="I15" s="327"/>
      <c r="J15" s="326">
        <f t="shared" si="0"/>
        <v>0</v>
      </c>
      <c r="K15" s="331"/>
    </row>
    <row r="16" spans="1:11" ht="33.950000000000003" customHeight="1" x14ac:dyDescent="0.25">
      <c r="B16" s="330">
        <v>13</v>
      </c>
      <c r="C16" s="369"/>
      <c r="D16" s="329"/>
      <c r="E16" s="329"/>
      <c r="F16" s="328"/>
      <c r="G16" s="328"/>
      <c r="H16" s="327"/>
      <c r="I16" s="327"/>
      <c r="J16" s="326">
        <f t="shared" si="0"/>
        <v>0</v>
      </c>
    </row>
    <row r="17" spans="2:10" ht="33.950000000000003" customHeight="1" x14ac:dyDescent="0.25">
      <c r="B17" s="330">
        <v>14</v>
      </c>
      <c r="C17" s="369"/>
      <c r="D17" s="329"/>
      <c r="E17" s="329"/>
      <c r="F17" s="328"/>
      <c r="G17" s="328"/>
      <c r="H17" s="327"/>
      <c r="I17" s="327"/>
      <c r="J17" s="326">
        <f t="shared" si="0"/>
        <v>0</v>
      </c>
    </row>
    <row r="18" spans="2:10" ht="33.950000000000003" customHeight="1" x14ac:dyDescent="0.25">
      <c r="B18" s="330">
        <v>15</v>
      </c>
      <c r="C18" s="369"/>
      <c r="D18" s="329"/>
      <c r="E18" s="329"/>
      <c r="F18" s="328"/>
      <c r="G18" s="328"/>
      <c r="H18" s="327"/>
      <c r="I18" s="327"/>
      <c r="J18" s="326">
        <f t="shared" si="0"/>
        <v>0</v>
      </c>
    </row>
    <row r="19" spans="2:10" ht="33.950000000000003" customHeight="1" x14ac:dyDescent="0.25">
      <c r="B19" s="330">
        <v>16</v>
      </c>
      <c r="C19" s="369"/>
      <c r="D19" s="329"/>
      <c r="E19" s="329"/>
      <c r="F19" s="328"/>
      <c r="G19" s="328"/>
      <c r="H19" s="327"/>
      <c r="I19" s="327"/>
      <c r="J19" s="326">
        <f t="shared" si="0"/>
        <v>0</v>
      </c>
    </row>
    <row r="20" spans="2:10" ht="33.950000000000003" customHeight="1" x14ac:dyDescent="0.25">
      <c r="B20" s="330">
        <v>17</v>
      </c>
      <c r="C20" s="369"/>
      <c r="D20" s="329"/>
      <c r="E20" s="329"/>
      <c r="F20" s="328"/>
      <c r="G20" s="328"/>
      <c r="H20" s="327"/>
      <c r="I20" s="327"/>
      <c r="J20" s="326">
        <f t="shared" si="0"/>
        <v>0</v>
      </c>
    </row>
    <row r="21" spans="2:10" ht="33.950000000000003" customHeight="1" x14ac:dyDescent="0.25">
      <c r="B21" s="330">
        <v>18</v>
      </c>
      <c r="C21" s="369"/>
      <c r="D21" s="329"/>
      <c r="E21" s="329"/>
      <c r="F21" s="328"/>
      <c r="G21" s="328"/>
      <c r="H21" s="327"/>
      <c r="I21" s="327"/>
      <c r="J21" s="326">
        <f t="shared" si="0"/>
        <v>0</v>
      </c>
    </row>
    <row r="22" spans="2:10" ht="33.950000000000003" customHeight="1" x14ac:dyDescent="0.25">
      <c r="B22" s="330">
        <v>19</v>
      </c>
      <c r="C22" s="369"/>
      <c r="D22" s="329"/>
      <c r="E22" s="329"/>
      <c r="F22" s="328"/>
      <c r="G22" s="328"/>
      <c r="H22" s="327"/>
      <c r="I22" s="327"/>
      <c r="J22" s="326">
        <f t="shared" si="0"/>
        <v>0</v>
      </c>
    </row>
    <row r="23" spans="2:10" ht="33.950000000000003" customHeight="1" x14ac:dyDescent="0.25">
      <c r="B23" s="330">
        <v>20</v>
      </c>
      <c r="C23" s="369"/>
      <c r="D23" s="329"/>
      <c r="E23" s="329"/>
      <c r="F23" s="328"/>
      <c r="G23" s="328"/>
      <c r="H23" s="327"/>
      <c r="I23" s="327"/>
      <c r="J23" s="326">
        <f t="shared" si="0"/>
        <v>0</v>
      </c>
    </row>
    <row r="24" spans="2:10" ht="33.950000000000003" customHeight="1" x14ac:dyDescent="0.25">
      <c r="B24" s="330">
        <v>21</v>
      </c>
      <c r="C24" s="369"/>
      <c r="D24" s="329"/>
      <c r="E24" s="329"/>
      <c r="F24" s="328"/>
      <c r="G24" s="328"/>
      <c r="H24" s="327"/>
      <c r="I24" s="327"/>
      <c r="J24" s="326">
        <f t="shared" si="0"/>
        <v>0</v>
      </c>
    </row>
    <row r="25" spans="2:10" ht="33.950000000000003" customHeight="1" x14ac:dyDescent="0.25">
      <c r="B25" s="330">
        <v>22</v>
      </c>
      <c r="C25" s="369"/>
      <c r="D25" s="329"/>
      <c r="E25" s="329"/>
      <c r="F25" s="328"/>
      <c r="G25" s="328"/>
      <c r="H25" s="327"/>
      <c r="I25" s="327"/>
      <c r="J25" s="326">
        <f t="shared" si="0"/>
        <v>0</v>
      </c>
    </row>
    <row r="26" spans="2:10" ht="33.950000000000003" customHeight="1" x14ac:dyDescent="0.25">
      <c r="B26" s="330">
        <v>23</v>
      </c>
      <c r="C26" s="369"/>
      <c r="D26" s="329"/>
      <c r="E26" s="329"/>
      <c r="F26" s="328"/>
      <c r="G26" s="328"/>
      <c r="H26" s="327"/>
      <c r="I26" s="327"/>
      <c r="J26" s="326">
        <f t="shared" si="0"/>
        <v>0</v>
      </c>
    </row>
    <row r="27" spans="2:10" ht="33.950000000000003" customHeight="1" x14ac:dyDescent="0.25">
      <c r="B27" s="330">
        <v>24</v>
      </c>
      <c r="C27" s="369"/>
      <c r="D27" s="329"/>
      <c r="E27" s="329"/>
      <c r="F27" s="328"/>
      <c r="G27" s="328"/>
      <c r="H27" s="327"/>
      <c r="I27" s="327"/>
      <c r="J27" s="326">
        <f t="shared" si="0"/>
        <v>0</v>
      </c>
    </row>
    <row r="28" spans="2:10" ht="33.950000000000003" customHeight="1" x14ac:dyDescent="0.25">
      <c r="B28" s="330">
        <v>25</v>
      </c>
      <c r="C28" s="369"/>
      <c r="D28" s="329"/>
      <c r="E28" s="329"/>
      <c r="F28" s="328"/>
      <c r="G28" s="328"/>
      <c r="H28" s="327"/>
      <c r="I28" s="327"/>
      <c r="J28" s="326">
        <f t="shared" si="0"/>
        <v>0</v>
      </c>
    </row>
    <row r="29" spans="2:10" ht="33.950000000000003" customHeight="1" x14ac:dyDescent="0.25">
      <c r="B29" s="330">
        <v>26</v>
      </c>
      <c r="C29" s="369"/>
      <c r="D29" s="329"/>
      <c r="E29" s="329"/>
      <c r="F29" s="328"/>
      <c r="G29" s="328"/>
      <c r="H29" s="327"/>
      <c r="I29" s="327"/>
      <c r="J29" s="326">
        <f t="shared" si="0"/>
        <v>0</v>
      </c>
    </row>
    <row r="30" spans="2:10" ht="33.950000000000003" customHeight="1" x14ac:dyDescent="0.25">
      <c r="B30" s="330">
        <v>27</v>
      </c>
      <c r="C30" s="369"/>
      <c r="D30" s="329"/>
      <c r="E30" s="329"/>
      <c r="F30" s="328"/>
      <c r="G30" s="328"/>
      <c r="H30" s="327"/>
      <c r="I30" s="327"/>
      <c r="J30" s="326">
        <f t="shared" si="0"/>
        <v>0</v>
      </c>
    </row>
    <row r="31" spans="2:10" ht="33.950000000000003" customHeight="1" x14ac:dyDescent="0.25">
      <c r="B31" s="330">
        <v>28</v>
      </c>
      <c r="C31" s="369"/>
      <c r="D31" s="329"/>
      <c r="E31" s="329"/>
      <c r="F31" s="328"/>
      <c r="G31" s="328"/>
      <c r="H31" s="327"/>
      <c r="I31" s="327"/>
      <c r="J31" s="326">
        <f t="shared" si="0"/>
        <v>0</v>
      </c>
    </row>
    <row r="32" spans="2:10" ht="33.950000000000003" customHeight="1" x14ac:dyDescent="0.25">
      <c r="B32" s="330">
        <v>29</v>
      </c>
      <c r="C32" s="368"/>
      <c r="D32" s="367"/>
      <c r="E32" s="367"/>
      <c r="G32" s="366"/>
      <c r="J32" s="365">
        <f t="shared" si="0"/>
        <v>0</v>
      </c>
    </row>
    <row r="33" spans="2:10" ht="33.950000000000003" customHeight="1" x14ac:dyDescent="0.25">
      <c r="B33" s="330">
        <v>30</v>
      </c>
      <c r="C33" s="368"/>
      <c r="D33" s="367"/>
      <c r="E33" s="367"/>
      <c r="G33" s="366"/>
      <c r="J33" s="365">
        <f t="shared" si="0"/>
        <v>0</v>
      </c>
    </row>
    <row r="34" spans="2:10" ht="33.950000000000003" customHeight="1" x14ac:dyDescent="0.25">
      <c r="B34" s="330">
        <v>31</v>
      </c>
      <c r="C34" s="368"/>
      <c r="D34" s="367"/>
      <c r="E34" s="367"/>
      <c r="G34" s="366"/>
      <c r="J34" s="365">
        <f t="shared" si="0"/>
        <v>0</v>
      </c>
    </row>
    <row r="35" spans="2:10" ht="33.950000000000003" customHeight="1" x14ac:dyDescent="0.25">
      <c r="B35" s="330">
        <v>32</v>
      </c>
      <c r="C35" s="368"/>
      <c r="D35" s="367"/>
      <c r="E35" s="367"/>
      <c r="G35" s="366"/>
      <c r="J35" s="365">
        <f t="shared" si="0"/>
        <v>0</v>
      </c>
    </row>
    <row r="36" spans="2:10" ht="33.950000000000003" customHeight="1" x14ac:dyDescent="0.25">
      <c r="B36" s="330">
        <v>33</v>
      </c>
      <c r="C36" s="368"/>
      <c r="D36" s="367"/>
      <c r="E36" s="367"/>
      <c r="G36" s="366"/>
      <c r="J36" s="365">
        <f t="shared" si="0"/>
        <v>0</v>
      </c>
    </row>
    <row r="37" spans="2:10" ht="33.950000000000003" customHeight="1" x14ac:dyDescent="0.25">
      <c r="B37" s="330">
        <v>34</v>
      </c>
      <c r="C37" s="368"/>
      <c r="D37" s="367"/>
      <c r="E37" s="367"/>
      <c r="G37" s="366"/>
      <c r="J37" s="365">
        <f t="shared" si="0"/>
        <v>0</v>
      </c>
    </row>
    <row r="38" spans="2:10" ht="33.950000000000003" customHeight="1" x14ac:dyDescent="0.25">
      <c r="B38" s="330">
        <v>35</v>
      </c>
      <c r="C38" s="368"/>
      <c r="D38" s="367"/>
      <c r="E38" s="367"/>
      <c r="G38" s="366"/>
      <c r="J38" s="365">
        <f t="shared" si="0"/>
        <v>0</v>
      </c>
    </row>
    <row r="39" spans="2:10" ht="33.950000000000003" customHeight="1" x14ac:dyDescent="0.25">
      <c r="B39" s="330">
        <v>36</v>
      </c>
      <c r="C39" s="368"/>
      <c r="D39" s="367"/>
      <c r="E39" s="367"/>
      <c r="G39" s="366"/>
      <c r="J39" s="365">
        <f t="shared" si="0"/>
        <v>0</v>
      </c>
    </row>
    <row r="40" spans="2:10" ht="33.950000000000003" customHeight="1" x14ac:dyDescent="0.25">
      <c r="B40" s="330">
        <v>37</v>
      </c>
      <c r="C40" s="368"/>
      <c r="D40" s="367"/>
      <c r="E40" s="367"/>
      <c r="G40" s="366"/>
      <c r="J40" s="365">
        <f t="shared" si="0"/>
        <v>0</v>
      </c>
    </row>
    <row r="41" spans="2:10" ht="33.950000000000003" customHeight="1" x14ac:dyDescent="0.25">
      <c r="B41" s="330">
        <v>38</v>
      </c>
      <c r="C41" s="368"/>
      <c r="D41" s="367"/>
      <c r="E41" s="367"/>
      <c r="G41" s="366"/>
      <c r="J41" s="365">
        <f t="shared" si="0"/>
        <v>0</v>
      </c>
    </row>
  </sheetData>
  <sheetProtection formatCells="0" formatColumns="0" formatRows="0" selectLockedCells="1" sort="0"/>
  <conditionalFormatting sqref="J3:J41">
    <cfRule type="expression" dxfId="162" priority="23">
      <formula>MOD(ROW(),2)=1</formula>
    </cfRule>
  </conditionalFormatting>
  <conditionalFormatting sqref="J3:J41">
    <cfRule type="expression" dxfId="161" priority="24">
      <formula>MOD(ROW(),2)=0</formula>
    </cfRule>
  </conditionalFormatting>
  <conditionalFormatting sqref="J16">
    <cfRule type="expression" dxfId="160" priority="21">
      <formula>MOD(ROW(),2)=1</formula>
    </cfRule>
  </conditionalFormatting>
  <conditionalFormatting sqref="J16">
    <cfRule type="expression" dxfId="159" priority="22">
      <formula>MOD(ROW(),2)=0</formula>
    </cfRule>
  </conditionalFormatting>
  <conditionalFormatting sqref="J17:J18">
    <cfRule type="expression" dxfId="158" priority="19">
      <formula>MOD(ROW(),2)=1</formula>
    </cfRule>
  </conditionalFormatting>
  <conditionalFormatting sqref="J17:J18">
    <cfRule type="expression" dxfId="157" priority="20">
      <formula>MOD(ROW(),2)=0</formula>
    </cfRule>
  </conditionalFormatting>
  <conditionalFormatting sqref="J19:J21">
    <cfRule type="expression" dxfId="156" priority="17">
      <formula>MOD(ROW(),2)=1</formula>
    </cfRule>
  </conditionalFormatting>
  <conditionalFormatting sqref="J19:J21">
    <cfRule type="expression" dxfId="155" priority="18">
      <formula>MOD(ROW(),2)=0</formula>
    </cfRule>
  </conditionalFormatting>
  <conditionalFormatting sqref="J19">
    <cfRule type="expression" dxfId="154" priority="15">
      <formula>MOD(ROW(),2)=1</formula>
    </cfRule>
  </conditionalFormatting>
  <conditionalFormatting sqref="J19">
    <cfRule type="expression" dxfId="153" priority="16">
      <formula>MOD(ROW(),2)=0</formula>
    </cfRule>
  </conditionalFormatting>
  <conditionalFormatting sqref="J20:J21">
    <cfRule type="expression" dxfId="152" priority="13">
      <formula>MOD(ROW(),2)=1</formula>
    </cfRule>
  </conditionalFormatting>
  <conditionalFormatting sqref="J20:J21">
    <cfRule type="expression" dxfId="151" priority="14">
      <formula>MOD(ROW(),2)=0</formula>
    </cfRule>
  </conditionalFormatting>
  <conditionalFormatting sqref="J22:J31">
    <cfRule type="expression" dxfId="150" priority="11">
      <formula>MOD(ROW(),2)=1</formula>
    </cfRule>
  </conditionalFormatting>
  <conditionalFormatting sqref="J22:J31">
    <cfRule type="expression" dxfId="149" priority="12">
      <formula>MOD(ROW(),2)=0</formula>
    </cfRule>
  </conditionalFormatting>
  <conditionalFormatting sqref="J26">
    <cfRule type="expression" dxfId="148" priority="9">
      <formula>MOD(ROW(),2)=1</formula>
    </cfRule>
  </conditionalFormatting>
  <conditionalFormatting sqref="J26">
    <cfRule type="expression" dxfId="147" priority="10">
      <formula>MOD(ROW(),2)=0</formula>
    </cfRule>
  </conditionalFormatting>
  <conditionalFormatting sqref="J27:J28">
    <cfRule type="expression" dxfId="146" priority="7">
      <formula>MOD(ROW(),2)=1</formula>
    </cfRule>
  </conditionalFormatting>
  <conditionalFormatting sqref="J27:J28">
    <cfRule type="expression" dxfId="145" priority="8">
      <formula>MOD(ROW(),2)=0</formula>
    </cfRule>
  </conditionalFormatting>
  <conditionalFormatting sqref="J29:J31">
    <cfRule type="expression" dxfId="144" priority="5">
      <formula>MOD(ROW(),2)=1</formula>
    </cfRule>
  </conditionalFormatting>
  <conditionalFormatting sqref="J29:J31">
    <cfRule type="expression" dxfId="143" priority="6">
      <formula>MOD(ROW(),2)=0</formula>
    </cfRule>
  </conditionalFormatting>
  <conditionalFormatting sqref="J29">
    <cfRule type="expression" dxfId="142" priority="3">
      <formula>MOD(ROW(),2)=1</formula>
    </cfRule>
  </conditionalFormatting>
  <conditionalFormatting sqref="J29">
    <cfRule type="expression" dxfId="141" priority="4">
      <formula>MOD(ROW(),2)=0</formula>
    </cfRule>
  </conditionalFormatting>
  <conditionalFormatting sqref="J30:J31">
    <cfRule type="expression" dxfId="140" priority="1">
      <formula>MOD(ROW(),2)=1</formula>
    </cfRule>
  </conditionalFormatting>
  <conditionalFormatting sqref="J30:J31">
    <cfRule type="expression" dxfId="139" priority="2">
      <formula>MOD(ROW(),2)=0</formula>
    </cfRule>
  </conditionalFormatting>
  <dataValidations count="7">
    <dataValidation allowBlank="1" showInputMessage="1" showErrorMessage="1" prompt="Enter Description in this column under this heading" sqref="C2:C3 E2:E3 D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:B3"/>
    <dataValidation allowBlank="1" showInputMessage="1" showErrorMessage="1" prompt="Enter Unit Price in this column under this heading" sqref="F2:G3"/>
    <dataValidation allowBlank="1" showInputMessage="1" showErrorMessage="1" prompt="Enter Discount in this column under this heading" sqref="H2:I3"/>
    <dataValidation allowBlank="1" showInputMessage="1" showErrorMessage="1" prompt="Enter Price in this column under this heading" sqref="J2:J3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40"/>
  <sheetViews>
    <sheetView showGridLines="0" zoomScaleNormal="100" workbookViewId="0">
      <selection activeCell="B10" sqref="B10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1" width="15.140625" style="325" customWidth="1"/>
    <col min="12" max="16384" width="9" style="325"/>
  </cols>
  <sheetData>
    <row r="1" spans="1:11" ht="57.95" customHeight="1" thickBot="1" x14ac:dyDescent="0.3">
      <c r="A1" s="344"/>
      <c r="B1" s="343" t="s">
        <v>466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453</v>
      </c>
      <c r="E2" s="335" t="s">
        <v>465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 t="s">
        <v>503</v>
      </c>
    </row>
    <row r="3" spans="1:11" ht="33.950000000000003" customHeight="1" x14ac:dyDescent="0.25">
      <c r="B3" s="330">
        <v>1</v>
      </c>
      <c r="C3" s="333"/>
      <c r="D3" s="333"/>
      <c r="E3" s="333"/>
      <c r="F3" s="379"/>
      <c r="G3" s="379"/>
      <c r="H3" s="376"/>
      <c r="I3" s="376"/>
      <c r="J3" s="349"/>
      <c r="K3" s="385"/>
    </row>
    <row r="4" spans="1:11" ht="33.950000000000003" customHeight="1" x14ac:dyDescent="0.25">
      <c r="B4" s="330">
        <v>2</v>
      </c>
      <c r="C4" s="333" t="s">
        <v>470</v>
      </c>
      <c r="D4" s="333"/>
      <c r="E4" s="379" t="s">
        <v>446</v>
      </c>
      <c r="F4" s="379" t="s">
        <v>446</v>
      </c>
      <c r="G4" s="377"/>
      <c r="H4" s="376"/>
      <c r="I4" s="376"/>
      <c r="J4" s="326">
        <v>0</v>
      </c>
      <c r="K4" s="385">
        <f>SimpleInvoice5[[#This Row],[Price]]/4</f>
        <v>0</v>
      </c>
    </row>
    <row r="5" spans="1:11" ht="33.950000000000003" customHeight="1" x14ac:dyDescent="0.25">
      <c r="B5" s="330">
        <v>3</v>
      </c>
      <c r="C5" s="333" t="s">
        <v>483</v>
      </c>
      <c r="D5" s="333" t="s">
        <v>484</v>
      </c>
      <c r="E5" s="333"/>
      <c r="F5" s="379"/>
      <c r="G5" s="377"/>
      <c r="H5" s="376"/>
      <c r="I5" s="376"/>
      <c r="J5" s="349">
        <v>10000</v>
      </c>
      <c r="K5" s="385">
        <f>SimpleInvoice5[[#This Row],[Price]]/4</f>
        <v>2500</v>
      </c>
    </row>
    <row r="6" spans="1:11" ht="33.950000000000003" customHeight="1" x14ac:dyDescent="0.25">
      <c r="B6" s="330">
        <v>4</v>
      </c>
      <c r="C6" s="333" t="s">
        <v>511</v>
      </c>
      <c r="D6" s="333"/>
      <c r="E6" s="333"/>
      <c r="F6" s="377"/>
      <c r="G6" s="377"/>
      <c r="H6" s="376"/>
      <c r="I6" s="376"/>
      <c r="J6" s="326">
        <f t="shared" ref="J6:J40" si="0">IFERROR((F6*H6)-I6,"")</f>
        <v>0</v>
      </c>
      <c r="K6" s="385">
        <f>SimpleInvoice5[[#This Row],[Price]]/4</f>
        <v>0</v>
      </c>
    </row>
    <row r="7" spans="1:11" ht="33.950000000000003" customHeight="1" x14ac:dyDescent="0.25">
      <c r="B7" s="330">
        <v>5</v>
      </c>
      <c r="C7" s="333" t="s">
        <v>336</v>
      </c>
      <c r="D7" s="333"/>
      <c r="E7" s="333"/>
      <c r="F7" s="378"/>
      <c r="G7" s="377"/>
      <c r="H7" s="376"/>
      <c r="I7" s="333" t="s">
        <v>484</v>
      </c>
      <c r="J7" s="326" t="str">
        <f t="shared" si="0"/>
        <v/>
      </c>
      <c r="K7" s="385" t="e">
        <f>SimpleInvoice5[[#This Row],[Price]]/4</f>
        <v>#VALUE!</v>
      </c>
    </row>
    <row r="8" spans="1:11" ht="33.950000000000003" customHeight="1" x14ac:dyDescent="0.25">
      <c r="B8" s="330">
        <v>6</v>
      </c>
      <c r="C8" s="333"/>
      <c r="D8" s="333"/>
      <c r="E8" s="333"/>
      <c r="F8" s="377"/>
      <c r="G8" s="377"/>
      <c r="H8" s="376"/>
      <c r="I8" s="376"/>
      <c r="J8" s="326">
        <f t="shared" si="0"/>
        <v>0</v>
      </c>
      <c r="K8" s="385">
        <f>SimpleInvoice5[[#This Row],[Price]]/4</f>
        <v>0</v>
      </c>
    </row>
    <row r="9" spans="1:11" ht="33.950000000000003" customHeight="1" x14ac:dyDescent="0.25">
      <c r="B9" s="330">
        <v>7</v>
      </c>
      <c r="C9" s="333"/>
      <c r="D9" s="333"/>
      <c r="E9" s="333"/>
      <c r="F9" s="377"/>
      <c r="G9" s="377"/>
      <c r="H9" s="376"/>
      <c r="I9" s="376"/>
      <c r="J9" s="326">
        <f t="shared" si="0"/>
        <v>0</v>
      </c>
      <c r="K9" s="385">
        <f>SimpleInvoice5[[#This Row],[Price]]/4</f>
        <v>0</v>
      </c>
    </row>
    <row r="10" spans="1:11" ht="33.950000000000003" customHeight="1" x14ac:dyDescent="0.25">
      <c r="B10" s="330">
        <v>8</v>
      </c>
      <c r="C10" s="333"/>
      <c r="D10" s="333"/>
      <c r="E10" s="333"/>
      <c r="F10" s="377"/>
      <c r="G10" s="377"/>
      <c r="H10" s="376"/>
      <c r="I10" s="376"/>
      <c r="J10" s="326">
        <f t="shared" si="0"/>
        <v>0</v>
      </c>
      <c r="K10" s="385">
        <f>SimpleInvoice5[[#This Row],[Price]]/4</f>
        <v>0</v>
      </c>
    </row>
    <row r="11" spans="1:11" ht="33.950000000000003" customHeight="1" x14ac:dyDescent="0.25">
      <c r="B11" s="330">
        <v>9</v>
      </c>
      <c r="C11" s="333"/>
      <c r="D11" s="333"/>
      <c r="E11" s="333"/>
      <c r="F11" s="377"/>
      <c r="G11" s="377"/>
      <c r="H11" s="376"/>
      <c r="I11" s="376"/>
      <c r="J11" s="326">
        <f t="shared" si="0"/>
        <v>0</v>
      </c>
      <c r="K11" s="385">
        <f>SimpleInvoice5[[#This Row],[Price]]/4</f>
        <v>0</v>
      </c>
    </row>
    <row r="12" spans="1:11" ht="33.950000000000003" customHeight="1" x14ac:dyDescent="0.25">
      <c r="B12" s="330">
        <v>10</v>
      </c>
      <c r="C12" s="333"/>
      <c r="D12" s="333"/>
      <c r="E12" s="333"/>
      <c r="F12" s="377"/>
      <c r="G12" s="377"/>
      <c r="H12" s="376"/>
      <c r="I12" s="376"/>
      <c r="J12" s="326">
        <f t="shared" si="0"/>
        <v>0</v>
      </c>
      <c r="K12" s="385">
        <f>SimpleInvoice5[[#This Row],[Price]]/4</f>
        <v>0</v>
      </c>
    </row>
    <row r="13" spans="1:11" ht="33.950000000000003" customHeight="1" x14ac:dyDescent="0.25">
      <c r="B13" s="330">
        <v>11</v>
      </c>
      <c r="C13" s="333"/>
      <c r="D13" s="333"/>
      <c r="E13" s="333"/>
      <c r="F13" s="377"/>
      <c r="G13" s="377"/>
      <c r="H13" s="376"/>
      <c r="I13" s="376"/>
      <c r="J13" s="326">
        <f t="shared" si="0"/>
        <v>0</v>
      </c>
      <c r="K13" s="385">
        <f>SimpleInvoice5[[#This Row],[Price]]/4</f>
        <v>0</v>
      </c>
    </row>
    <row r="14" spans="1:11" ht="33.950000000000003" customHeight="1" x14ac:dyDescent="0.25">
      <c r="B14" s="330">
        <v>12</v>
      </c>
      <c r="C14" s="333"/>
      <c r="D14" s="333"/>
      <c r="E14" s="333"/>
      <c r="F14" s="377"/>
      <c r="G14" s="377"/>
      <c r="H14" s="376"/>
      <c r="I14" s="376"/>
      <c r="J14" s="326">
        <f t="shared" si="0"/>
        <v>0</v>
      </c>
      <c r="K14" s="385">
        <f>SimpleInvoice5[[#This Row],[Price]]/4</f>
        <v>0</v>
      </c>
    </row>
    <row r="15" spans="1:11" ht="33.950000000000003" customHeight="1" x14ac:dyDescent="0.25">
      <c r="B15" s="330">
        <v>13</v>
      </c>
      <c r="C15" s="333"/>
      <c r="D15" s="333"/>
      <c r="E15" s="333"/>
      <c r="F15" s="377"/>
      <c r="G15" s="377"/>
      <c r="H15" s="376"/>
      <c r="I15" s="376"/>
      <c r="J15" s="326">
        <f t="shared" si="0"/>
        <v>0</v>
      </c>
      <c r="K15" s="372">
        <f>SimpleInvoice5[[#This Row],[Price]]/4</f>
        <v>0</v>
      </c>
    </row>
    <row r="16" spans="1:11" ht="33.950000000000003" customHeight="1" x14ac:dyDescent="0.25">
      <c r="B16" s="330">
        <v>14</v>
      </c>
      <c r="C16" s="333"/>
      <c r="D16" s="333"/>
      <c r="E16" s="333"/>
      <c r="F16" s="377"/>
      <c r="G16" s="377"/>
      <c r="H16" s="376"/>
      <c r="I16" s="376"/>
      <c r="J16" s="326">
        <f t="shared" si="0"/>
        <v>0</v>
      </c>
      <c r="K16" s="372">
        <f>SimpleInvoice5[[#This Row],[Price]]/4</f>
        <v>0</v>
      </c>
    </row>
    <row r="17" spans="2:11" ht="33.950000000000003" customHeight="1" x14ac:dyDescent="0.25">
      <c r="B17" s="330">
        <v>15</v>
      </c>
      <c r="C17" s="333"/>
      <c r="D17" s="333"/>
      <c r="E17" s="333"/>
      <c r="F17" s="377"/>
      <c r="G17" s="377"/>
      <c r="H17" s="376"/>
      <c r="I17" s="376"/>
      <c r="J17" s="326">
        <f t="shared" si="0"/>
        <v>0</v>
      </c>
      <c r="K17" s="372">
        <f>SimpleInvoice5[[#This Row],[Price]]/4</f>
        <v>0</v>
      </c>
    </row>
    <row r="18" spans="2:11" ht="33.950000000000003" customHeight="1" x14ac:dyDescent="0.25">
      <c r="B18" s="330">
        <v>16</v>
      </c>
      <c r="C18" s="333"/>
      <c r="D18" s="333"/>
      <c r="E18" s="333"/>
      <c r="F18" s="377"/>
      <c r="G18" s="377"/>
      <c r="H18" s="376"/>
      <c r="I18" s="376"/>
      <c r="J18" s="326">
        <f t="shared" si="0"/>
        <v>0</v>
      </c>
      <c r="K18" s="372">
        <f>SimpleInvoice5[[#This Row],[Price]]/4</f>
        <v>0</v>
      </c>
    </row>
    <row r="19" spans="2:11" ht="33.950000000000003" customHeight="1" x14ac:dyDescent="0.25">
      <c r="B19" s="330">
        <v>17</v>
      </c>
      <c r="C19" s="333"/>
      <c r="D19" s="333"/>
      <c r="E19" s="333"/>
      <c r="F19" s="377"/>
      <c r="G19" s="377"/>
      <c r="H19" s="376"/>
      <c r="I19" s="376"/>
      <c r="J19" s="326">
        <f t="shared" si="0"/>
        <v>0</v>
      </c>
      <c r="K19" s="372">
        <f>SimpleInvoice5[[#This Row],[Price]]/4</f>
        <v>0</v>
      </c>
    </row>
    <row r="20" spans="2:11" ht="33.950000000000003" customHeight="1" x14ac:dyDescent="0.25">
      <c r="B20" s="330">
        <v>18</v>
      </c>
      <c r="C20" s="333"/>
      <c r="D20" s="333"/>
      <c r="E20" s="333"/>
      <c r="F20" s="377"/>
      <c r="G20" s="377"/>
      <c r="H20" s="376"/>
      <c r="I20" s="376"/>
      <c r="J20" s="326">
        <f t="shared" si="0"/>
        <v>0</v>
      </c>
      <c r="K20" s="372">
        <f>SimpleInvoice5[[#This Row],[Price]]/4</f>
        <v>0</v>
      </c>
    </row>
    <row r="21" spans="2:11" ht="33.950000000000003" customHeight="1" x14ac:dyDescent="0.25">
      <c r="B21" s="330">
        <v>19</v>
      </c>
      <c r="C21" s="333"/>
      <c r="D21" s="333"/>
      <c r="E21" s="333"/>
      <c r="F21" s="377"/>
      <c r="G21" s="377"/>
      <c r="H21" s="376"/>
      <c r="I21" s="376"/>
      <c r="J21" s="326">
        <f t="shared" si="0"/>
        <v>0</v>
      </c>
      <c r="K21" s="372">
        <f>SimpleInvoice5[[#This Row],[Price]]/4</f>
        <v>0</v>
      </c>
    </row>
    <row r="22" spans="2:11" ht="33.950000000000003" customHeight="1" x14ac:dyDescent="0.25">
      <c r="B22" s="330">
        <v>20</v>
      </c>
      <c r="C22" s="333"/>
      <c r="D22" s="333"/>
      <c r="E22" s="333"/>
      <c r="F22" s="377"/>
      <c r="G22" s="377"/>
      <c r="H22" s="376"/>
      <c r="I22" s="376"/>
      <c r="J22" s="326">
        <f t="shared" si="0"/>
        <v>0</v>
      </c>
      <c r="K22" s="372">
        <f>SimpleInvoice5[[#This Row],[Price]]/4</f>
        <v>0</v>
      </c>
    </row>
    <row r="23" spans="2:11" ht="33.950000000000003" customHeight="1" x14ac:dyDescent="0.25">
      <c r="B23" s="330">
        <v>21</v>
      </c>
      <c r="C23" s="333"/>
      <c r="D23" s="333"/>
      <c r="E23" s="333"/>
      <c r="F23" s="377"/>
      <c r="G23" s="377"/>
      <c r="H23" s="376"/>
      <c r="I23" s="376"/>
      <c r="J23" s="326">
        <f t="shared" si="0"/>
        <v>0</v>
      </c>
      <c r="K23" s="372">
        <f>SimpleInvoice5[[#This Row],[Price]]/4</f>
        <v>0</v>
      </c>
    </row>
    <row r="24" spans="2:11" ht="33.950000000000003" customHeight="1" x14ac:dyDescent="0.25">
      <c r="B24" s="330">
        <v>22</v>
      </c>
      <c r="C24" s="333"/>
      <c r="D24" s="333"/>
      <c r="E24" s="333"/>
      <c r="F24" s="377"/>
      <c r="G24" s="377"/>
      <c r="H24" s="376"/>
      <c r="I24" s="376"/>
      <c r="J24" s="326">
        <f t="shared" si="0"/>
        <v>0</v>
      </c>
      <c r="K24" s="372">
        <f>SimpleInvoice5[[#This Row],[Price]]/4</f>
        <v>0</v>
      </c>
    </row>
    <row r="25" spans="2:11" ht="33.950000000000003" customHeight="1" x14ac:dyDescent="0.25">
      <c r="B25" s="330">
        <v>23</v>
      </c>
      <c r="C25" s="333"/>
      <c r="D25" s="333"/>
      <c r="E25" s="333"/>
      <c r="F25" s="377"/>
      <c r="G25" s="377"/>
      <c r="H25" s="376"/>
      <c r="I25" s="376"/>
      <c r="J25" s="326">
        <f t="shared" si="0"/>
        <v>0</v>
      </c>
      <c r="K25" s="372">
        <f>SimpleInvoice5[[#This Row],[Price]]/4</f>
        <v>0</v>
      </c>
    </row>
    <row r="26" spans="2:11" ht="33.950000000000003" customHeight="1" x14ac:dyDescent="0.25">
      <c r="B26" s="330">
        <v>24</v>
      </c>
      <c r="C26" s="333"/>
      <c r="D26" s="333"/>
      <c r="E26" s="333"/>
      <c r="F26" s="377"/>
      <c r="G26" s="377"/>
      <c r="H26" s="376"/>
      <c r="I26" s="376"/>
      <c r="J26" s="326">
        <f t="shared" si="0"/>
        <v>0</v>
      </c>
      <c r="K26" s="372">
        <f>SimpleInvoice5[[#This Row],[Price]]/4</f>
        <v>0</v>
      </c>
    </row>
    <row r="27" spans="2:11" ht="33.950000000000003" customHeight="1" x14ac:dyDescent="0.25">
      <c r="B27" s="330">
        <v>25</v>
      </c>
      <c r="C27" s="333"/>
      <c r="D27" s="333"/>
      <c r="E27" s="333"/>
      <c r="F27" s="377"/>
      <c r="G27" s="377"/>
      <c r="H27" s="376"/>
      <c r="I27" s="376"/>
      <c r="J27" s="326">
        <f t="shared" si="0"/>
        <v>0</v>
      </c>
      <c r="K27" s="372">
        <f>SimpleInvoice5[[#This Row],[Price]]/4</f>
        <v>0</v>
      </c>
    </row>
    <row r="28" spans="2:11" ht="33.950000000000003" customHeight="1" x14ac:dyDescent="0.25">
      <c r="B28" s="330">
        <v>26</v>
      </c>
      <c r="C28" s="333"/>
      <c r="D28" s="333"/>
      <c r="E28" s="333"/>
      <c r="F28" s="377"/>
      <c r="G28" s="377"/>
      <c r="H28" s="376"/>
      <c r="I28" s="376"/>
      <c r="J28" s="326">
        <f t="shared" si="0"/>
        <v>0</v>
      </c>
      <c r="K28" s="372">
        <f>SimpleInvoice5[[#This Row],[Price]]/4</f>
        <v>0</v>
      </c>
    </row>
    <row r="29" spans="2:11" ht="33.950000000000003" customHeight="1" x14ac:dyDescent="0.25">
      <c r="B29" s="330">
        <v>27</v>
      </c>
      <c r="C29" s="333"/>
      <c r="D29" s="333"/>
      <c r="E29" s="333"/>
      <c r="F29" s="377"/>
      <c r="G29" s="377"/>
      <c r="H29" s="376"/>
      <c r="I29" s="376"/>
      <c r="J29" s="326">
        <f t="shared" si="0"/>
        <v>0</v>
      </c>
      <c r="K29" s="372">
        <f>SimpleInvoice5[[#This Row],[Price]]/4</f>
        <v>0</v>
      </c>
    </row>
    <row r="30" spans="2:11" ht="33.950000000000003" customHeight="1" x14ac:dyDescent="0.25">
      <c r="B30" s="330">
        <v>28</v>
      </c>
      <c r="C30" s="333"/>
      <c r="D30" s="333"/>
      <c r="E30" s="333"/>
      <c r="F30" s="377"/>
      <c r="G30" s="377"/>
      <c r="H30" s="376"/>
      <c r="I30" s="376"/>
      <c r="J30" s="326">
        <f t="shared" si="0"/>
        <v>0</v>
      </c>
      <c r="K30" s="372">
        <f>SimpleInvoice5[[#This Row],[Price]]/4</f>
        <v>0</v>
      </c>
    </row>
    <row r="31" spans="2:11" ht="33.950000000000003" customHeight="1" x14ac:dyDescent="0.25">
      <c r="B31" s="330">
        <v>29</v>
      </c>
      <c r="C31" s="375"/>
      <c r="D31" s="374"/>
      <c r="E31" s="374"/>
      <c r="F31" s="372"/>
      <c r="G31" s="373"/>
      <c r="H31" s="372"/>
      <c r="I31" s="372"/>
      <c r="J31" s="365">
        <f t="shared" si="0"/>
        <v>0</v>
      </c>
      <c r="K31" s="372">
        <f>SimpleInvoice5[[#This Row],[Price]]/4</f>
        <v>0</v>
      </c>
    </row>
    <row r="32" spans="2:11" ht="33.950000000000003" customHeight="1" x14ac:dyDescent="0.25">
      <c r="B32" s="330">
        <v>30</v>
      </c>
      <c r="C32" s="375"/>
      <c r="D32" s="374"/>
      <c r="E32" s="374"/>
      <c r="F32" s="372"/>
      <c r="G32" s="373"/>
      <c r="H32" s="372"/>
      <c r="I32" s="372"/>
      <c r="J32" s="365">
        <f t="shared" si="0"/>
        <v>0</v>
      </c>
      <c r="K32" s="372">
        <f>SimpleInvoice5[[#This Row],[Price]]/4</f>
        <v>0</v>
      </c>
    </row>
    <row r="33" spans="2:11" ht="33.950000000000003" customHeight="1" x14ac:dyDescent="0.25">
      <c r="B33" s="330">
        <v>31</v>
      </c>
      <c r="C33" s="375"/>
      <c r="D33" s="374"/>
      <c r="E33" s="374"/>
      <c r="F33" s="372"/>
      <c r="G33" s="373"/>
      <c r="H33" s="372"/>
      <c r="I33" s="372"/>
      <c r="J33" s="365">
        <f t="shared" si="0"/>
        <v>0</v>
      </c>
      <c r="K33" s="372">
        <f>SimpleInvoice5[[#This Row],[Price]]/4</f>
        <v>0</v>
      </c>
    </row>
    <row r="34" spans="2:11" ht="33.950000000000003" customHeight="1" x14ac:dyDescent="0.25">
      <c r="B34" s="330">
        <v>32</v>
      </c>
      <c r="C34" s="375"/>
      <c r="D34" s="374"/>
      <c r="E34" s="374"/>
      <c r="F34" s="372"/>
      <c r="G34" s="373"/>
      <c r="H34" s="372"/>
      <c r="I34" s="372"/>
      <c r="J34" s="365">
        <f t="shared" si="0"/>
        <v>0</v>
      </c>
      <c r="K34" s="372">
        <f>SimpleInvoice5[[#This Row],[Price]]/4</f>
        <v>0</v>
      </c>
    </row>
    <row r="35" spans="2:11" ht="33.950000000000003" customHeight="1" x14ac:dyDescent="0.25">
      <c r="B35" s="330">
        <v>33</v>
      </c>
      <c r="C35" s="375"/>
      <c r="D35" s="374"/>
      <c r="E35" s="374"/>
      <c r="F35" s="372"/>
      <c r="G35" s="373"/>
      <c r="H35" s="372"/>
      <c r="I35" s="372"/>
      <c r="J35" s="365">
        <f t="shared" si="0"/>
        <v>0</v>
      </c>
      <c r="K35" s="372">
        <f>SimpleInvoice5[[#This Row],[Price]]/4</f>
        <v>0</v>
      </c>
    </row>
    <row r="36" spans="2:11" ht="33.950000000000003" customHeight="1" x14ac:dyDescent="0.25">
      <c r="B36" s="330">
        <v>34</v>
      </c>
      <c r="C36" s="375"/>
      <c r="D36" s="374"/>
      <c r="E36" s="374"/>
      <c r="F36" s="372"/>
      <c r="G36" s="373"/>
      <c r="H36" s="372"/>
      <c r="I36" s="372"/>
      <c r="J36" s="365">
        <f t="shared" si="0"/>
        <v>0</v>
      </c>
      <c r="K36" s="372">
        <f>SimpleInvoice5[[#This Row],[Price]]/4</f>
        <v>0</v>
      </c>
    </row>
    <row r="37" spans="2:11" ht="33.950000000000003" customHeight="1" x14ac:dyDescent="0.25">
      <c r="B37" s="330">
        <v>35</v>
      </c>
      <c r="C37" s="375"/>
      <c r="D37" s="374"/>
      <c r="E37" s="374"/>
      <c r="F37" s="372"/>
      <c r="G37" s="373"/>
      <c r="H37" s="372"/>
      <c r="I37" s="372"/>
      <c r="J37" s="365">
        <f t="shared" si="0"/>
        <v>0</v>
      </c>
      <c r="K37" s="372">
        <f>SimpleInvoice5[[#This Row],[Price]]/4</f>
        <v>0</v>
      </c>
    </row>
    <row r="38" spans="2:11" ht="33.950000000000003" customHeight="1" x14ac:dyDescent="0.25">
      <c r="B38" s="330">
        <v>36</v>
      </c>
      <c r="C38" s="375"/>
      <c r="D38" s="374"/>
      <c r="E38" s="374"/>
      <c r="F38" s="372"/>
      <c r="G38" s="373"/>
      <c r="H38" s="372"/>
      <c r="I38" s="372"/>
      <c r="J38" s="365">
        <f t="shared" si="0"/>
        <v>0</v>
      </c>
      <c r="K38" s="372">
        <f>SimpleInvoice5[[#This Row],[Price]]/4</f>
        <v>0</v>
      </c>
    </row>
    <row r="39" spans="2:11" ht="33.950000000000003" customHeight="1" x14ac:dyDescent="0.25">
      <c r="B39" s="330">
        <v>37</v>
      </c>
      <c r="C39" s="375"/>
      <c r="D39" s="374"/>
      <c r="E39" s="374"/>
      <c r="F39" s="372"/>
      <c r="G39" s="373"/>
      <c r="H39" s="372"/>
      <c r="I39" s="372"/>
      <c r="J39" s="365">
        <f t="shared" si="0"/>
        <v>0</v>
      </c>
      <c r="K39" s="372">
        <f>SimpleInvoice5[[#This Row],[Price]]/4</f>
        <v>0</v>
      </c>
    </row>
    <row r="40" spans="2:11" ht="33.950000000000003" customHeight="1" x14ac:dyDescent="0.25">
      <c r="B40" s="330">
        <v>38</v>
      </c>
      <c r="C40" s="375"/>
      <c r="D40" s="374"/>
      <c r="E40" s="374"/>
      <c r="F40" s="372"/>
      <c r="G40" s="373"/>
      <c r="H40" s="372"/>
      <c r="I40" s="372"/>
      <c r="J40" s="365">
        <f t="shared" si="0"/>
        <v>0</v>
      </c>
      <c r="K40" s="372">
        <f>SimpleInvoice5[[#This Row],[Price]]/4</f>
        <v>0</v>
      </c>
    </row>
  </sheetData>
  <sheetProtection formatCells="0" formatColumns="0" formatRows="0" selectLockedCells="1" sort="0"/>
  <conditionalFormatting sqref="J3:J40">
    <cfRule type="expression" dxfId="133" priority="23">
      <formula>MOD(ROW(),2)=1</formula>
    </cfRule>
  </conditionalFormatting>
  <conditionalFormatting sqref="J3:J40">
    <cfRule type="expression" dxfId="132" priority="24">
      <formula>MOD(ROW(),2)=0</formula>
    </cfRule>
  </conditionalFormatting>
  <conditionalFormatting sqref="J15">
    <cfRule type="expression" dxfId="131" priority="21">
      <formula>MOD(ROW(),2)=1</formula>
    </cfRule>
  </conditionalFormatting>
  <conditionalFormatting sqref="J15">
    <cfRule type="expression" dxfId="130" priority="22">
      <formula>MOD(ROW(),2)=0</formula>
    </cfRule>
  </conditionalFormatting>
  <conditionalFormatting sqref="J16:J17">
    <cfRule type="expression" dxfId="129" priority="19">
      <formula>MOD(ROW(),2)=1</formula>
    </cfRule>
  </conditionalFormatting>
  <conditionalFormatting sqref="J16:J17">
    <cfRule type="expression" dxfId="128" priority="20">
      <formula>MOD(ROW(),2)=0</formula>
    </cfRule>
  </conditionalFormatting>
  <conditionalFormatting sqref="J18:J20">
    <cfRule type="expression" dxfId="127" priority="17">
      <formula>MOD(ROW(),2)=1</formula>
    </cfRule>
  </conditionalFormatting>
  <conditionalFormatting sqref="J18:J20">
    <cfRule type="expression" dxfId="126" priority="18">
      <formula>MOD(ROW(),2)=0</formula>
    </cfRule>
  </conditionalFormatting>
  <conditionalFormatting sqref="J18">
    <cfRule type="expression" dxfId="125" priority="15">
      <formula>MOD(ROW(),2)=1</formula>
    </cfRule>
  </conditionalFormatting>
  <conditionalFormatting sqref="J18">
    <cfRule type="expression" dxfId="124" priority="16">
      <formula>MOD(ROW(),2)=0</formula>
    </cfRule>
  </conditionalFormatting>
  <conditionalFormatting sqref="J19:J20">
    <cfRule type="expression" dxfId="123" priority="13">
      <formula>MOD(ROW(),2)=1</formula>
    </cfRule>
  </conditionalFormatting>
  <conditionalFormatting sqref="J19:J20">
    <cfRule type="expression" dxfId="122" priority="14">
      <formula>MOD(ROW(),2)=0</formula>
    </cfRule>
  </conditionalFormatting>
  <conditionalFormatting sqref="J21:J30">
    <cfRule type="expression" dxfId="121" priority="11">
      <formula>MOD(ROW(),2)=1</formula>
    </cfRule>
  </conditionalFormatting>
  <conditionalFormatting sqref="J21:J30">
    <cfRule type="expression" dxfId="120" priority="12">
      <formula>MOD(ROW(),2)=0</formula>
    </cfRule>
  </conditionalFormatting>
  <conditionalFormatting sqref="J25">
    <cfRule type="expression" dxfId="119" priority="9">
      <formula>MOD(ROW(),2)=1</formula>
    </cfRule>
  </conditionalFormatting>
  <conditionalFormatting sqref="J25">
    <cfRule type="expression" dxfId="118" priority="10">
      <formula>MOD(ROW(),2)=0</formula>
    </cfRule>
  </conditionalFormatting>
  <conditionalFormatting sqref="J26:J27">
    <cfRule type="expression" dxfId="117" priority="7">
      <formula>MOD(ROW(),2)=1</formula>
    </cfRule>
  </conditionalFormatting>
  <conditionalFormatting sqref="J26:J27">
    <cfRule type="expression" dxfId="116" priority="8">
      <formula>MOD(ROW(),2)=0</formula>
    </cfRule>
  </conditionalFormatting>
  <conditionalFormatting sqref="J28:J30">
    <cfRule type="expression" dxfId="115" priority="5">
      <formula>MOD(ROW(),2)=1</formula>
    </cfRule>
  </conditionalFormatting>
  <conditionalFormatting sqref="J28:J30">
    <cfRule type="expression" dxfId="114" priority="6">
      <formula>MOD(ROW(),2)=0</formula>
    </cfRule>
  </conditionalFormatting>
  <conditionalFormatting sqref="J28">
    <cfRule type="expression" dxfId="113" priority="3">
      <formula>MOD(ROW(),2)=1</formula>
    </cfRule>
  </conditionalFormatting>
  <conditionalFormatting sqref="J28">
    <cfRule type="expression" dxfId="112" priority="4">
      <formula>MOD(ROW(),2)=0</formula>
    </cfRule>
  </conditionalFormatting>
  <conditionalFormatting sqref="J29:J30">
    <cfRule type="expression" dxfId="111" priority="1">
      <formula>MOD(ROW(),2)=1</formula>
    </cfRule>
  </conditionalFormatting>
  <conditionalFormatting sqref="J29:J30">
    <cfRule type="expression" dxfId="110" priority="2">
      <formula>MOD(ROW(),2)=0</formula>
    </cfRule>
  </conditionalFormatting>
  <dataValidations count="7">
    <dataValidation allowBlank="1" showInputMessage="1" showErrorMessage="1" prompt="Enter Description in this column under this heading" sqref="C2:E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"/>
    <dataValidation allowBlank="1" showInputMessage="1" showErrorMessage="1" prompt="Enter Unit Price in this column under this heading" sqref="F2:G2"/>
    <dataValidation allowBlank="1" showInputMessage="1" showErrorMessage="1" prompt="Enter Discount in this column under this heading" sqref="H2:I2"/>
    <dataValidation allowBlank="1" showInputMessage="1" showErrorMessage="1" prompt="Enter Price in this column under this heading" sqref="J2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40"/>
  <sheetViews>
    <sheetView showGridLines="0" zoomScaleNormal="100" workbookViewId="0">
      <selection activeCell="L5" sqref="L5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6384" width="9" style="325"/>
  </cols>
  <sheetData>
    <row r="1" spans="1:11" ht="57.95" customHeight="1" thickBot="1" x14ac:dyDescent="0.3">
      <c r="A1" s="344"/>
      <c r="B1" s="343" t="s">
        <v>505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463</v>
      </c>
      <c r="E2" s="335" t="s">
        <v>434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/>
    </row>
    <row r="3" spans="1:11" ht="33.950000000000003" customHeight="1" x14ac:dyDescent="0.25">
      <c r="B3" s="330">
        <v>1</v>
      </c>
      <c r="C3" s="333" t="s">
        <v>502</v>
      </c>
      <c r="D3" s="333" t="s">
        <v>469</v>
      </c>
      <c r="E3" s="333"/>
      <c r="F3" s="332"/>
      <c r="G3" s="332"/>
      <c r="H3" s="327"/>
      <c r="I3" s="327"/>
      <c r="J3" s="349">
        <v>50000</v>
      </c>
      <c r="K3" s="331"/>
    </row>
    <row r="4" spans="1:11" ht="33.950000000000003" customHeight="1" x14ac:dyDescent="0.25">
      <c r="B4" s="330">
        <v>2</v>
      </c>
      <c r="C4" s="333" t="s">
        <v>468</v>
      </c>
      <c r="D4" s="333"/>
      <c r="E4" s="380" t="s">
        <v>467</v>
      </c>
      <c r="F4" s="332"/>
      <c r="G4" s="328"/>
      <c r="H4" s="327"/>
      <c r="I4" s="327"/>
      <c r="J4" s="326"/>
      <c r="K4" s="331"/>
    </row>
    <row r="5" spans="1:11" ht="33.950000000000003" customHeight="1" x14ac:dyDescent="0.25">
      <c r="B5" s="330">
        <v>3</v>
      </c>
      <c r="C5" s="333" t="s">
        <v>471</v>
      </c>
      <c r="D5" s="333"/>
      <c r="E5" s="333" t="s">
        <v>472</v>
      </c>
      <c r="F5" s="332"/>
      <c r="G5" s="328"/>
      <c r="H5" s="327"/>
      <c r="I5" s="327"/>
      <c r="J5" s="326"/>
      <c r="K5" s="331"/>
    </row>
    <row r="6" spans="1:11" ht="33.950000000000003" customHeight="1" x14ac:dyDescent="0.25">
      <c r="B6" s="330">
        <v>4</v>
      </c>
      <c r="C6" s="333" t="s">
        <v>473</v>
      </c>
      <c r="D6" s="329"/>
      <c r="E6" s="380" t="s">
        <v>467</v>
      </c>
      <c r="F6" s="380" t="s">
        <v>474</v>
      </c>
      <c r="G6" s="328"/>
      <c r="H6" s="327"/>
      <c r="I6" s="327"/>
      <c r="J6" s="326" t="str">
        <f>IFERROR((F6*H6)-I6,"")</f>
        <v/>
      </c>
      <c r="K6" s="331"/>
    </row>
    <row r="7" spans="1:11" ht="33.950000000000003" customHeight="1" x14ac:dyDescent="0.25">
      <c r="B7" s="330">
        <v>5</v>
      </c>
      <c r="C7" s="333" t="s">
        <v>265</v>
      </c>
      <c r="D7" s="333"/>
      <c r="E7" s="333" t="s">
        <v>472</v>
      </c>
      <c r="F7" s="370"/>
      <c r="G7" s="333" t="s">
        <v>475</v>
      </c>
      <c r="H7" s="327"/>
      <c r="I7" s="327"/>
      <c r="J7" s="326"/>
      <c r="K7" s="331"/>
    </row>
    <row r="8" spans="1:11" ht="33.950000000000003" customHeight="1" x14ac:dyDescent="0.25">
      <c r="B8" s="330">
        <v>6</v>
      </c>
      <c r="C8" s="333" t="s">
        <v>512</v>
      </c>
      <c r="D8" s="333" t="s">
        <v>469</v>
      </c>
      <c r="E8" s="329"/>
      <c r="F8" s="328"/>
      <c r="G8" s="328"/>
      <c r="H8" s="327"/>
      <c r="I8" s="327"/>
      <c r="J8" s="349">
        <v>500</v>
      </c>
      <c r="K8" s="331"/>
    </row>
    <row r="9" spans="1:11" ht="33.950000000000003" customHeight="1" x14ac:dyDescent="0.25">
      <c r="B9" s="330">
        <v>7</v>
      </c>
      <c r="C9" s="369"/>
      <c r="D9" s="329"/>
      <c r="E9" s="329"/>
      <c r="F9" s="328"/>
      <c r="G9" s="328"/>
      <c r="H9" s="327"/>
      <c r="I9" s="327"/>
      <c r="J9" s="326"/>
      <c r="K9" s="331"/>
    </row>
    <row r="10" spans="1:11" ht="33.950000000000003" customHeight="1" x14ac:dyDescent="0.25">
      <c r="B10" s="330">
        <v>8</v>
      </c>
      <c r="C10" s="369"/>
      <c r="D10" s="329"/>
      <c r="E10" s="329"/>
      <c r="F10" s="328"/>
      <c r="G10" s="328"/>
      <c r="H10" s="327"/>
      <c r="I10" s="327"/>
      <c r="J10" s="326"/>
      <c r="K10" s="331"/>
    </row>
    <row r="11" spans="1:11" ht="33.950000000000003" customHeight="1" x14ac:dyDescent="0.25">
      <c r="B11" s="330">
        <v>9</v>
      </c>
      <c r="C11" s="369"/>
      <c r="D11" s="329"/>
      <c r="E11" s="329"/>
      <c r="F11" s="328"/>
      <c r="G11" s="328"/>
      <c r="H11" s="327"/>
      <c r="I11" s="327"/>
      <c r="J11" s="326"/>
      <c r="K11" s="331"/>
    </row>
    <row r="12" spans="1:11" ht="33.950000000000003" customHeight="1" x14ac:dyDescent="0.25">
      <c r="B12" s="330">
        <v>10</v>
      </c>
      <c r="C12" s="369"/>
      <c r="D12" s="329"/>
      <c r="E12" s="329"/>
      <c r="F12" s="328"/>
      <c r="G12" s="328"/>
      <c r="H12" s="327"/>
      <c r="I12" s="327"/>
      <c r="J12" s="326"/>
      <c r="K12" s="331"/>
    </row>
    <row r="13" spans="1:11" ht="33.950000000000003" customHeight="1" x14ac:dyDescent="0.25">
      <c r="B13" s="330">
        <v>11</v>
      </c>
      <c r="C13" s="369"/>
      <c r="D13" s="329"/>
      <c r="E13" s="329"/>
      <c r="F13" s="328"/>
      <c r="G13" s="328"/>
      <c r="H13" s="327"/>
      <c r="I13" s="327"/>
      <c r="J13" s="326"/>
      <c r="K13" s="331"/>
    </row>
    <row r="14" spans="1:11" ht="33.950000000000003" customHeight="1" x14ac:dyDescent="0.25">
      <c r="B14" s="330">
        <v>12</v>
      </c>
      <c r="C14" s="369"/>
      <c r="D14" s="329"/>
      <c r="E14" s="329"/>
      <c r="F14" s="328"/>
      <c r="G14" s="328"/>
      <c r="H14" s="327"/>
      <c r="I14" s="327"/>
      <c r="J14" s="326"/>
      <c r="K14" s="331"/>
    </row>
    <row r="15" spans="1:11" ht="33.950000000000003" customHeight="1" x14ac:dyDescent="0.25">
      <c r="B15" s="330">
        <v>13</v>
      </c>
      <c r="C15" s="369"/>
      <c r="D15" s="329"/>
      <c r="E15" s="329"/>
      <c r="F15" s="328"/>
      <c r="G15" s="328"/>
      <c r="H15" s="327"/>
      <c r="I15" s="327"/>
      <c r="J15" s="326"/>
    </row>
    <row r="16" spans="1:11" ht="33.950000000000003" customHeight="1" x14ac:dyDescent="0.25">
      <c r="B16" s="330">
        <v>14</v>
      </c>
      <c r="C16" s="369"/>
      <c r="D16" s="329"/>
      <c r="E16" s="329"/>
      <c r="F16" s="328"/>
      <c r="G16" s="328"/>
      <c r="H16" s="327"/>
      <c r="I16" s="327"/>
      <c r="J16" s="326"/>
    </row>
    <row r="17" spans="2:10" ht="33.950000000000003" customHeight="1" x14ac:dyDescent="0.25">
      <c r="B17" s="330">
        <v>15</v>
      </c>
      <c r="C17" s="369"/>
      <c r="D17" s="329"/>
      <c r="E17" s="329"/>
      <c r="F17" s="328"/>
      <c r="G17" s="328"/>
      <c r="H17" s="327"/>
      <c r="I17" s="327"/>
      <c r="J17" s="326"/>
    </row>
    <row r="18" spans="2:10" ht="33.950000000000003" customHeight="1" x14ac:dyDescent="0.25">
      <c r="B18" s="330">
        <v>16</v>
      </c>
      <c r="C18" s="369"/>
      <c r="D18" s="329"/>
      <c r="E18" s="329"/>
      <c r="F18" s="328"/>
      <c r="G18" s="328"/>
      <c r="H18" s="327"/>
      <c r="I18" s="327"/>
      <c r="J18" s="326"/>
    </row>
    <row r="19" spans="2:10" ht="33.950000000000003" customHeight="1" x14ac:dyDescent="0.25">
      <c r="B19" s="330">
        <v>17</v>
      </c>
      <c r="C19" s="369"/>
      <c r="D19" s="329"/>
      <c r="E19" s="329"/>
      <c r="F19" s="328"/>
      <c r="G19" s="328"/>
      <c r="H19" s="327"/>
      <c r="I19" s="327"/>
      <c r="J19" s="326"/>
    </row>
    <row r="20" spans="2:10" ht="33.950000000000003" customHeight="1" x14ac:dyDescent="0.25">
      <c r="B20" s="330">
        <v>18</v>
      </c>
      <c r="C20" s="369"/>
      <c r="D20" s="329"/>
      <c r="E20" s="329"/>
      <c r="F20" s="328"/>
      <c r="G20" s="328"/>
      <c r="H20" s="327"/>
      <c r="I20" s="327"/>
      <c r="J20" s="326"/>
    </row>
    <row r="21" spans="2:10" ht="33.950000000000003" customHeight="1" x14ac:dyDescent="0.25">
      <c r="B21" s="330">
        <v>19</v>
      </c>
      <c r="C21" s="369"/>
      <c r="D21" s="329"/>
      <c r="E21" s="329"/>
      <c r="F21" s="328"/>
      <c r="G21" s="328"/>
      <c r="H21" s="327"/>
      <c r="I21" s="327"/>
      <c r="J21" s="326"/>
    </row>
    <row r="22" spans="2:10" ht="33.950000000000003" customHeight="1" x14ac:dyDescent="0.25">
      <c r="B22" s="330">
        <v>20</v>
      </c>
      <c r="C22" s="369"/>
      <c r="D22" s="329"/>
      <c r="E22" s="329"/>
      <c r="F22" s="328"/>
      <c r="G22" s="328"/>
      <c r="H22" s="327"/>
      <c r="I22" s="327"/>
      <c r="J22" s="326"/>
    </row>
    <row r="23" spans="2:10" ht="33.950000000000003" customHeight="1" x14ac:dyDescent="0.25">
      <c r="B23" s="330">
        <v>21</v>
      </c>
      <c r="C23" s="369"/>
      <c r="D23" s="329"/>
      <c r="E23" s="329"/>
      <c r="F23" s="328"/>
      <c r="G23" s="328"/>
      <c r="H23" s="327"/>
      <c r="I23" s="327"/>
      <c r="J23" s="326"/>
    </row>
    <row r="24" spans="2:10" ht="33.950000000000003" customHeight="1" x14ac:dyDescent="0.25">
      <c r="B24" s="330">
        <v>22</v>
      </c>
      <c r="C24" s="369"/>
      <c r="D24" s="329"/>
      <c r="E24" s="329"/>
      <c r="F24" s="328"/>
      <c r="G24" s="328"/>
      <c r="H24" s="327"/>
      <c r="I24" s="327"/>
      <c r="J24" s="326"/>
    </row>
    <row r="25" spans="2:10" ht="33.950000000000003" customHeight="1" x14ac:dyDescent="0.25">
      <c r="B25" s="330">
        <v>23</v>
      </c>
      <c r="C25" s="369"/>
      <c r="D25" s="329"/>
      <c r="E25" s="329"/>
      <c r="F25" s="328"/>
      <c r="G25" s="328"/>
      <c r="H25" s="327"/>
      <c r="I25" s="327"/>
      <c r="J25" s="326"/>
    </row>
    <row r="26" spans="2:10" ht="33.950000000000003" customHeight="1" x14ac:dyDescent="0.25">
      <c r="B26" s="330">
        <v>24</v>
      </c>
      <c r="C26" s="369"/>
      <c r="D26" s="329"/>
      <c r="E26" s="329"/>
      <c r="F26" s="328"/>
      <c r="G26" s="328"/>
      <c r="H26" s="327"/>
      <c r="I26" s="327"/>
      <c r="J26" s="326"/>
    </row>
    <row r="27" spans="2:10" ht="33.950000000000003" customHeight="1" x14ac:dyDescent="0.25">
      <c r="B27" s="330">
        <v>25</v>
      </c>
      <c r="C27" s="369"/>
      <c r="D27" s="329"/>
      <c r="E27" s="329"/>
      <c r="F27" s="328"/>
      <c r="G27" s="328"/>
      <c r="H27" s="327"/>
      <c r="I27" s="327"/>
      <c r="J27" s="326"/>
    </row>
    <row r="28" spans="2:10" ht="33.950000000000003" customHeight="1" x14ac:dyDescent="0.25">
      <c r="B28" s="330">
        <v>26</v>
      </c>
      <c r="C28" s="369"/>
      <c r="D28" s="329"/>
      <c r="E28" s="329"/>
      <c r="F28" s="328"/>
      <c r="G28" s="328"/>
      <c r="H28" s="327"/>
      <c r="I28" s="327"/>
      <c r="J28" s="326"/>
    </row>
    <row r="29" spans="2:10" ht="33.950000000000003" customHeight="1" x14ac:dyDescent="0.25">
      <c r="B29" s="330">
        <v>27</v>
      </c>
      <c r="C29" s="369"/>
      <c r="D29" s="329"/>
      <c r="E29" s="329"/>
      <c r="F29" s="328"/>
      <c r="G29" s="328"/>
      <c r="H29" s="327"/>
      <c r="I29" s="327"/>
      <c r="J29" s="326"/>
    </row>
    <row r="30" spans="2:10" ht="33.950000000000003" customHeight="1" x14ac:dyDescent="0.25">
      <c r="B30" s="330">
        <v>28</v>
      </c>
      <c r="C30" s="369"/>
      <c r="D30" s="329"/>
      <c r="E30" s="329"/>
      <c r="F30" s="328"/>
      <c r="G30" s="328"/>
      <c r="H30" s="327"/>
      <c r="I30" s="327"/>
      <c r="J30" s="326"/>
    </row>
    <row r="31" spans="2:10" ht="33.950000000000003" customHeight="1" x14ac:dyDescent="0.25">
      <c r="B31" s="330">
        <v>29</v>
      </c>
      <c r="C31" s="368"/>
      <c r="D31" s="367"/>
      <c r="E31" s="367"/>
      <c r="G31" s="366"/>
      <c r="J31" s="365"/>
    </row>
    <row r="32" spans="2:10" ht="33.950000000000003" customHeight="1" x14ac:dyDescent="0.25">
      <c r="B32" s="330">
        <v>30</v>
      </c>
      <c r="C32" s="368"/>
      <c r="D32" s="367"/>
      <c r="E32" s="367"/>
      <c r="G32" s="366"/>
      <c r="J32" s="365"/>
    </row>
    <row r="33" spans="2:10" ht="33.950000000000003" customHeight="1" x14ac:dyDescent="0.25">
      <c r="B33" s="330">
        <v>31</v>
      </c>
      <c r="C33" s="368"/>
      <c r="D33" s="367"/>
      <c r="E33" s="367"/>
      <c r="G33" s="366"/>
      <c r="J33" s="365"/>
    </row>
    <row r="34" spans="2:10" ht="33.950000000000003" customHeight="1" x14ac:dyDescent="0.25">
      <c r="B34" s="330">
        <v>32</v>
      </c>
      <c r="C34" s="368"/>
      <c r="D34" s="367"/>
      <c r="E34" s="367"/>
      <c r="G34" s="366"/>
      <c r="J34" s="365"/>
    </row>
    <row r="35" spans="2:10" ht="33.950000000000003" customHeight="1" x14ac:dyDescent="0.25">
      <c r="B35" s="330">
        <v>33</v>
      </c>
      <c r="C35" s="368"/>
      <c r="D35" s="367"/>
      <c r="E35" s="367"/>
      <c r="G35" s="366"/>
      <c r="J35" s="365"/>
    </row>
    <row r="36" spans="2:10" ht="33.950000000000003" customHeight="1" x14ac:dyDescent="0.25">
      <c r="B36" s="330">
        <v>34</v>
      </c>
      <c r="C36" s="368"/>
      <c r="D36" s="367"/>
      <c r="E36" s="367"/>
      <c r="G36" s="366"/>
      <c r="J36" s="365"/>
    </row>
    <row r="37" spans="2:10" ht="33.950000000000003" customHeight="1" x14ac:dyDescent="0.25">
      <c r="B37" s="330">
        <v>35</v>
      </c>
      <c r="C37" s="368"/>
      <c r="D37" s="367"/>
      <c r="E37" s="367"/>
      <c r="G37" s="366"/>
      <c r="J37" s="365"/>
    </row>
    <row r="38" spans="2:10" ht="33.950000000000003" customHeight="1" x14ac:dyDescent="0.25">
      <c r="B38" s="330">
        <v>36</v>
      </c>
      <c r="C38" s="368"/>
      <c r="D38" s="367"/>
      <c r="E38" s="367"/>
      <c r="G38" s="366"/>
      <c r="J38" s="365"/>
    </row>
    <row r="39" spans="2:10" ht="33.950000000000003" customHeight="1" x14ac:dyDescent="0.25">
      <c r="B39" s="330">
        <v>37</v>
      </c>
      <c r="C39" s="368"/>
      <c r="D39" s="367"/>
      <c r="E39" s="367"/>
      <c r="G39" s="366"/>
      <c r="J39" s="365"/>
    </row>
    <row r="40" spans="2:10" ht="33.950000000000003" customHeight="1" x14ac:dyDescent="0.25">
      <c r="B40" s="330">
        <v>38</v>
      </c>
      <c r="C40" s="368"/>
      <c r="D40" s="367"/>
      <c r="E40" s="367"/>
      <c r="G40" s="366"/>
      <c r="J40" s="365"/>
    </row>
  </sheetData>
  <sheetProtection formatCells="0" formatColumns="0" formatRows="0" selectLockedCells="1" sort="0"/>
  <conditionalFormatting sqref="J3:J40">
    <cfRule type="expression" dxfId="100" priority="23">
      <formula>MOD(ROW(),2)=1</formula>
    </cfRule>
  </conditionalFormatting>
  <conditionalFormatting sqref="J3:J40">
    <cfRule type="expression" dxfId="99" priority="24">
      <formula>MOD(ROW(),2)=0</formula>
    </cfRule>
  </conditionalFormatting>
  <conditionalFormatting sqref="J15">
    <cfRule type="expression" dxfId="98" priority="21">
      <formula>MOD(ROW(),2)=1</formula>
    </cfRule>
  </conditionalFormatting>
  <conditionalFormatting sqref="J15">
    <cfRule type="expression" dxfId="97" priority="22">
      <formula>MOD(ROW(),2)=0</formula>
    </cfRule>
  </conditionalFormatting>
  <conditionalFormatting sqref="J16:J17">
    <cfRule type="expression" dxfId="96" priority="19">
      <formula>MOD(ROW(),2)=1</formula>
    </cfRule>
  </conditionalFormatting>
  <conditionalFormatting sqref="J16:J17">
    <cfRule type="expression" dxfId="95" priority="20">
      <formula>MOD(ROW(),2)=0</formula>
    </cfRule>
  </conditionalFormatting>
  <conditionalFormatting sqref="J18:J20">
    <cfRule type="expression" dxfId="94" priority="17">
      <formula>MOD(ROW(),2)=1</formula>
    </cfRule>
  </conditionalFormatting>
  <conditionalFormatting sqref="J18:J20">
    <cfRule type="expression" dxfId="93" priority="18">
      <formula>MOD(ROW(),2)=0</formula>
    </cfRule>
  </conditionalFormatting>
  <conditionalFormatting sqref="J18">
    <cfRule type="expression" dxfId="92" priority="15">
      <formula>MOD(ROW(),2)=1</formula>
    </cfRule>
  </conditionalFormatting>
  <conditionalFormatting sqref="J18">
    <cfRule type="expression" dxfId="91" priority="16">
      <formula>MOD(ROW(),2)=0</formula>
    </cfRule>
  </conditionalFormatting>
  <conditionalFormatting sqref="J19:J20">
    <cfRule type="expression" dxfId="90" priority="13">
      <formula>MOD(ROW(),2)=1</formula>
    </cfRule>
  </conditionalFormatting>
  <conditionalFormatting sqref="J19:J20">
    <cfRule type="expression" dxfId="89" priority="14">
      <formula>MOD(ROW(),2)=0</formula>
    </cfRule>
  </conditionalFormatting>
  <conditionalFormatting sqref="J21:J30">
    <cfRule type="expression" dxfId="88" priority="11">
      <formula>MOD(ROW(),2)=1</formula>
    </cfRule>
  </conditionalFormatting>
  <conditionalFormatting sqref="J21:J30">
    <cfRule type="expression" dxfId="87" priority="12">
      <formula>MOD(ROW(),2)=0</formula>
    </cfRule>
  </conditionalFormatting>
  <conditionalFormatting sqref="J25">
    <cfRule type="expression" dxfId="86" priority="9">
      <formula>MOD(ROW(),2)=1</formula>
    </cfRule>
  </conditionalFormatting>
  <conditionalFormatting sqref="J25">
    <cfRule type="expression" dxfId="85" priority="10">
      <formula>MOD(ROW(),2)=0</formula>
    </cfRule>
  </conditionalFormatting>
  <conditionalFormatting sqref="J26:J27">
    <cfRule type="expression" dxfId="84" priority="7">
      <formula>MOD(ROW(),2)=1</formula>
    </cfRule>
  </conditionalFormatting>
  <conditionalFormatting sqref="J26:J27">
    <cfRule type="expression" dxfId="83" priority="8">
      <formula>MOD(ROW(),2)=0</formula>
    </cfRule>
  </conditionalFormatting>
  <conditionalFormatting sqref="J28:J30">
    <cfRule type="expression" dxfId="82" priority="5">
      <formula>MOD(ROW(),2)=1</formula>
    </cfRule>
  </conditionalFormatting>
  <conditionalFormatting sqref="J28:J30">
    <cfRule type="expression" dxfId="81" priority="6">
      <formula>MOD(ROW(),2)=0</formula>
    </cfRule>
  </conditionalFormatting>
  <conditionalFormatting sqref="J28">
    <cfRule type="expression" dxfId="80" priority="3">
      <formula>MOD(ROW(),2)=1</formula>
    </cfRule>
  </conditionalFormatting>
  <conditionalFormatting sqref="J28">
    <cfRule type="expression" dxfId="79" priority="4">
      <formula>MOD(ROW(),2)=0</formula>
    </cfRule>
  </conditionalFormatting>
  <conditionalFormatting sqref="J29:J30">
    <cfRule type="expression" dxfId="78" priority="1">
      <formula>MOD(ROW(),2)=1</formula>
    </cfRule>
  </conditionalFormatting>
  <conditionalFormatting sqref="J29:J30">
    <cfRule type="expression" dxfId="77" priority="2">
      <formula>MOD(ROW(),2)=0</formula>
    </cfRule>
  </conditionalFormatting>
  <dataValidations count="7">
    <dataValidation allowBlank="1" showInputMessage="1" showErrorMessage="1" prompt="Enter Description in this column under this heading" sqref="C2:E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"/>
    <dataValidation allowBlank="1" showInputMessage="1" showErrorMessage="1" prompt="Enter Unit Price in this column under this heading" sqref="F2:G2"/>
    <dataValidation allowBlank="1" showInputMessage="1" showErrorMessage="1" prompt="Enter Discount in this column under this heading" sqref="H2:I2"/>
    <dataValidation allowBlank="1" showInputMessage="1" showErrorMessage="1" prompt="Enter Price in this column under this heading" sqref="J2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L164"/>
  <sheetViews>
    <sheetView workbookViewId="0">
      <selection activeCell="F99" sqref="F99"/>
    </sheetView>
  </sheetViews>
  <sheetFormatPr defaultRowHeight="15" x14ac:dyDescent="0.25"/>
  <cols>
    <col min="1" max="1" width="19.7109375" customWidth="1"/>
    <col min="2" max="2" width="14.85546875" customWidth="1"/>
    <col min="3" max="3" width="11.7109375" customWidth="1"/>
    <col min="4" max="4" width="14.42578125" customWidth="1"/>
    <col min="5" max="5" width="14.28515625" customWidth="1"/>
    <col min="6" max="6" width="15.140625" customWidth="1"/>
    <col min="8" max="8" width="46.140625" customWidth="1"/>
  </cols>
  <sheetData>
    <row r="2" spans="1:12" x14ac:dyDescent="0.25">
      <c r="D2" t="s">
        <v>515</v>
      </c>
    </row>
    <row r="3" spans="1:12" x14ac:dyDescent="0.25">
      <c r="A3" s="260" t="s">
        <v>294</v>
      </c>
      <c r="B3" s="252" t="s">
        <v>64</v>
      </c>
      <c r="C3" s="252" t="s">
        <v>69</v>
      </c>
      <c r="D3" s="252" t="s">
        <v>516</v>
      </c>
    </row>
    <row r="4" spans="1:12" x14ac:dyDescent="0.25">
      <c r="A4" s="286" t="s">
        <v>518</v>
      </c>
      <c r="B4" s="13">
        <v>500592</v>
      </c>
      <c r="C4" s="13">
        <v>66700</v>
      </c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286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28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5">
      <c r="A7" s="286" t="s">
        <v>517</v>
      </c>
      <c r="B7" s="13"/>
      <c r="C7" s="13"/>
      <c r="D7" s="13">
        <v>4675</v>
      </c>
      <c r="E7" s="13"/>
      <c r="F7" s="13"/>
      <c r="G7" s="13"/>
      <c r="H7" s="13"/>
      <c r="I7" s="13"/>
      <c r="J7" s="13"/>
      <c r="K7" s="13"/>
      <c r="L7" s="13"/>
    </row>
    <row r="8" spans="1:12" x14ac:dyDescent="0.25">
      <c r="A8" s="286" t="s">
        <v>519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25">
      <c r="A9" s="286" t="s">
        <v>624</v>
      </c>
      <c r="B9" s="13">
        <v>60000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28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B15" s="13"/>
      <c r="C15" s="13"/>
      <c r="E15" s="13"/>
      <c r="F15" s="13"/>
      <c r="G15" s="13"/>
      <c r="H15" s="13"/>
      <c r="I15" s="13"/>
      <c r="J15" s="13"/>
      <c r="K15" s="13"/>
      <c r="L15" s="13"/>
    </row>
    <row r="30" spans="2:6" x14ac:dyDescent="0.25">
      <c r="B30" s="13">
        <f>SUM(B4:B29)</f>
        <v>560592</v>
      </c>
      <c r="C30" s="13">
        <f>SUM(C4:C29)</f>
        <v>66700</v>
      </c>
      <c r="D30" s="13">
        <f>SUM(D4:D29)</f>
        <v>4675</v>
      </c>
      <c r="F30" s="13">
        <f>SUM(B30:E30)</f>
        <v>631967</v>
      </c>
    </row>
    <row r="49" spans="1:6" x14ac:dyDescent="0.25">
      <c r="D49" t="s">
        <v>522</v>
      </c>
    </row>
    <row r="50" spans="1:6" x14ac:dyDescent="0.25">
      <c r="A50" s="260" t="s">
        <v>294</v>
      </c>
      <c r="B50" s="252" t="s">
        <v>64</v>
      </c>
      <c r="C50" s="252" t="s">
        <v>69</v>
      </c>
      <c r="D50" s="252" t="s">
        <v>524</v>
      </c>
    </row>
    <row r="51" spans="1:6" x14ac:dyDescent="0.25">
      <c r="A51" s="286" t="s">
        <v>518</v>
      </c>
      <c r="B51" s="13">
        <v>492469.5</v>
      </c>
      <c r="C51" s="13">
        <v>58948.07</v>
      </c>
      <c r="D51" s="13">
        <v>5000</v>
      </c>
      <c r="E51" s="13"/>
      <c r="F51" s="13"/>
    </row>
    <row r="52" spans="1:6" x14ac:dyDescent="0.25">
      <c r="B52" s="13"/>
      <c r="C52" s="13"/>
      <c r="D52" s="13"/>
      <c r="E52" s="13"/>
      <c r="F52" s="13"/>
    </row>
    <row r="53" spans="1:6" x14ac:dyDescent="0.25">
      <c r="A53" s="12" t="s">
        <v>523</v>
      </c>
      <c r="B53" s="13">
        <v>46676</v>
      </c>
      <c r="C53" s="13"/>
      <c r="D53" s="13"/>
      <c r="E53" s="13"/>
      <c r="F53" s="13"/>
    </row>
    <row r="54" spans="1:6" x14ac:dyDescent="0.25">
      <c r="A54" s="12" t="s">
        <v>520</v>
      </c>
      <c r="B54" s="13">
        <v>46676</v>
      </c>
      <c r="C54" s="13"/>
      <c r="D54" s="13"/>
      <c r="E54" s="13"/>
      <c r="F54" s="13"/>
    </row>
    <row r="55" spans="1:6" x14ac:dyDescent="0.25">
      <c r="B55" s="13"/>
      <c r="C55" s="13"/>
      <c r="D55" s="13"/>
      <c r="E55" s="13"/>
      <c r="F55" s="13"/>
    </row>
    <row r="56" spans="1:6" x14ac:dyDescent="0.25">
      <c r="B56" s="13"/>
      <c r="C56" s="13"/>
      <c r="D56" s="13"/>
      <c r="E56" s="13"/>
      <c r="F56" s="13"/>
    </row>
    <row r="57" spans="1:6" x14ac:dyDescent="0.25">
      <c r="B57" s="13"/>
      <c r="C57" s="13"/>
      <c r="D57" s="13"/>
      <c r="E57" s="13"/>
      <c r="F57" s="13"/>
    </row>
    <row r="58" spans="1:6" x14ac:dyDescent="0.25">
      <c r="B58" s="13"/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B61" s="13"/>
      <c r="C61" s="13"/>
      <c r="D61" s="13"/>
      <c r="E61" s="13"/>
      <c r="F61" s="13"/>
    </row>
    <row r="62" spans="1:6" x14ac:dyDescent="0.25">
      <c r="B62" s="13"/>
      <c r="C62" s="13"/>
      <c r="D62" s="13"/>
      <c r="E62" s="13"/>
      <c r="F62" s="13"/>
    </row>
    <row r="63" spans="1:6" x14ac:dyDescent="0.25">
      <c r="B63" s="13"/>
      <c r="C63" s="13"/>
      <c r="D63" s="13"/>
      <c r="E63" s="13"/>
      <c r="F63" s="13"/>
    </row>
    <row r="64" spans="1:6" x14ac:dyDescent="0.25">
      <c r="B64" s="13"/>
      <c r="C64" s="13"/>
      <c r="D64" s="13"/>
      <c r="E64" s="13"/>
      <c r="F64" s="13"/>
    </row>
    <row r="65" spans="2:6" x14ac:dyDescent="0.25">
      <c r="B65" s="13"/>
      <c r="C65" s="13"/>
      <c r="D65" s="13"/>
      <c r="E65" s="13"/>
      <c r="F65" s="13"/>
    </row>
    <row r="66" spans="2:6" x14ac:dyDescent="0.25">
      <c r="B66" s="13"/>
      <c r="C66" s="13"/>
      <c r="D66" s="13"/>
      <c r="E66" s="13"/>
      <c r="F66" s="13"/>
    </row>
    <row r="67" spans="2:6" x14ac:dyDescent="0.25">
      <c r="B67" s="13"/>
      <c r="C67" s="13"/>
      <c r="D67" s="13"/>
      <c r="E67" s="13"/>
      <c r="F67" s="13"/>
    </row>
    <row r="68" spans="2:6" x14ac:dyDescent="0.25">
      <c r="B68" s="13"/>
      <c r="C68" s="13"/>
      <c r="D68" s="13"/>
      <c r="E68" s="13"/>
      <c r="F68" s="13"/>
    </row>
    <row r="69" spans="2:6" x14ac:dyDescent="0.25">
      <c r="B69" s="13"/>
      <c r="C69" s="13"/>
      <c r="D69" s="13"/>
      <c r="E69" s="13"/>
      <c r="F69" s="13"/>
    </row>
    <row r="70" spans="2:6" x14ac:dyDescent="0.25">
      <c r="B70" s="13"/>
      <c r="C70" s="13"/>
      <c r="D70" s="13"/>
      <c r="E70" s="13"/>
      <c r="F70" s="13"/>
    </row>
    <row r="71" spans="2:6" x14ac:dyDescent="0.25">
      <c r="B71" s="13"/>
      <c r="C71" s="13"/>
      <c r="D71" s="13"/>
      <c r="E71" s="13"/>
      <c r="F71" s="13"/>
    </row>
    <row r="72" spans="2:6" x14ac:dyDescent="0.25">
      <c r="B72" s="13"/>
      <c r="C72" s="13"/>
      <c r="D72" s="13"/>
      <c r="E72" s="13"/>
      <c r="F72" s="13"/>
    </row>
    <row r="73" spans="2:6" x14ac:dyDescent="0.25">
      <c r="B73" s="13"/>
      <c r="C73" s="13"/>
      <c r="D73" s="13"/>
      <c r="E73" s="13"/>
      <c r="F73" s="13"/>
    </row>
    <row r="74" spans="2:6" x14ac:dyDescent="0.25">
      <c r="B74" s="13"/>
      <c r="C74" s="13"/>
      <c r="D74" s="13"/>
      <c r="E74" s="13"/>
      <c r="F74" s="13"/>
    </row>
    <row r="75" spans="2:6" x14ac:dyDescent="0.25">
      <c r="B75" s="13">
        <f>SUM(B51:B74)</f>
        <v>585821.5</v>
      </c>
      <c r="C75" s="13">
        <f>SUM(C51:C74)</f>
        <v>58948.07</v>
      </c>
      <c r="D75" s="13">
        <f>SUM(D51:D74)</f>
        <v>5000</v>
      </c>
      <c r="E75" s="13"/>
      <c r="F75" s="13">
        <f>SUM(B75:E75)</f>
        <v>649769.56999999995</v>
      </c>
    </row>
    <row r="76" spans="2:6" x14ac:dyDescent="0.25">
      <c r="B76" s="13"/>
      <c r="C76" s="13"/>
      <c r="D76" s="13"/>
      <c r="E76" s="13"/>
      <c r="F76" s="13"/>
    </row>
    <row r="77" spans="2:6" x14ac:dyDescent="0.25">
      <c r="B77" s="13"/>
      <c r="C77" s="13"/>
      <c r="D77" s="13"/>
      <c r="E77" s="13"/>
      <c r="F77" s="13"/>
    </row>
    <row r="78" spans="2:6" x14ac:dyDescent="0.25">
      <c r="B78" s="13"/>
      <c r="C78" s="13"/>
      <c r="D78" s="13"/>
      <c r="E78" s="13"/>
      <c r="F78" s="13"/>
    </row>
    <row r="79" spans="2:6" x14ac:dyDescent="0.25">
      <c r="B79" s="13"/>
      <c r="C79" s="13"/>
      <c r="D79" s="13"/>
      <c r="E79" s="13"/>
      <c r="F79" s="13"/>
    </row>
    <row r="80" spans="2:6" x14ac:dyDescent="0.25">
      <c r="B80" s="13"/>
      <c r="C80" s="13"/>
      <c r="D80" s="13"/>
      <c r="E80" s="13"/>
      <c r="F80" s="13"/>
    </row>
    <row r="81" spans="2:6" x14ac:dyDescent="0.25">
      <c r="B81" s="13"/>
      <c r="C81" s="13"/>
      <c r="D81" s="13"/>
      <c r="E81" s="13"/>
      <c r="F81" s="13"/>
    </row>
    <row r="82" spans="2:6" x14ac:dyDescent="0.25">
      <c r="B82" s="13"/>
      <c r="C82" s="13"/>
      <c r="D82" s="13"/>
      <c r="E82" s="13"/>
      <c r="F82" s="13"/>
    </row>
    <row r="83" spans="2:6" x14ac:dyDescent="0.25">
      <c r="B83" s="13"/>
      <c r="C83" s="13"/>
      <c r="D83" s="13"/>
      <c r="E83" s="13"/>
      <c r="F83" s="13"/>
    </row>
    <row r="84" spans="2:6" x14ac:dyDescent="0.25">
      <c r="B84" s="13"/>
      <c r="C84" s="13"/>
      <c r="D84" s="13"/>
      <c r="E84" s="13"/>
      <c r="F84" s="13"/>
    </row>
    <row r="85" spans="2:6" x14ac:dyDescent="0.25">
      <c r="B85" s="13"/>
      <c r="C85" s="13"/>
      <c r="D85" s="13"/>
      <c r="E85" s="13"/>
      <c r="F85" s="13"/>
    </row>
    <row r="86" spans="2:6" x14ac:dyDescent="0.25">
      <c r="B86" s="13"/>
      <c r="C86" s="13"/>
      <c r="D86" s="13"/>
      <c r="E86" s="13"/>
      <c r="F86" s="13"/>
    </row>
    <row r="87" spans="2:6" x14ac:dyDescent="0.25">
      <c r="B87" s="13"/>
      <c r="C87" s="13"/>
      <c r="D87" s="13"/>
      <c r="E87" s="13"/>
      <c r="F87" s="13"/>
    </row>
    <row r="88" spans="2:6" x14ac:dyDescent="0.25">
      <c r="B88" s="13"/>
      <c r="C88" s="13"/>
      <c r="D88" s="13"/>
      <c r="E88" s="13"/>
      <c r="F88" s="13"/>
    </row>
    <row r="89" spans="2:6" x14ac:dyDescent="0.25">
      <c r="B89" s="13"/>
      <c r="C89" s="13"/>
      <c r="D89" s="13"/>
      <c r="E89" s="13"/>
      <c r="F89" s="13"/>
    </row>
    <row r="90" spans="2:6" x14ac:dyDescent="0.25">
      <c r="B90" s="13"/>
      <c r="C90" s="13"/>
      <c r="D90" s="13"/>
      <c r="E90" s="13"/>
      <c r="F90" s="13"/>
    </row>
    <row r="91" spans="2:6" x14ac:dyDescent="0.25">
      <c r="B91" s="13"/>
      <c r="C91" s="13"/>
      <c r="D91" s="13"/>
      <c r="E91" s="13"/>
      <c r="F91" s="13"/>
    </row>
    <row r="92" spans="2:6" x14ac:dyDescent="0.25">
      <c r="B92" s="13"/>
      <c r="C92" s="13"/>
      <c r="D92" s="13"/>
      <c r="E92" s="13"/>
      <c r="F92" s="13"/>
    </row>
    <row r="93" spans="2:6" x14ac:dyDescent="0.25">
      <c r="B93" s="13"/>
      <c r="C93" s="13"/>
      <c r="D93" s="13"/>
      <c r="E93" s="13"/>
      <c r="F93" s="13"/>
    </row>
    <row r="94" spans="2:6" x14ac:dyDescent="0.25">
      <c r="B94" s="13"/>
      <c r="C94" s="13"/>
      <c r="D94" s="13"/>
      <c r="E94" s="13"/>
      <c r="F94" s="13"/>
    </row>
    <row r="96" spans="2:6" x14ac:dyDescent="0.25">
      <c r="D96" t="s">
        <v>525</v>
      </c>
    </row>
    <row r="97" spans="1:6" x14ac:dyDescent="0.25">
      <c r="A97" s="260" t="s">
        <v>294</v>
      </c>
      <c r="B97" s="252" t="s">
        <v>526</v>
      </c>
      <c r="C97" s="252" t="s">
        <v>69</v>
      </c>
      <c r="D97" s="252"/>
    </row>
    <row r="98" spans="1:6" x14ac:dyDescent="0.25">
      <c r="A98" s="286" t="s">
        <v>518</v>
      </c>
      <c r="B98" s="13">
        <v>129000</v>
      </c>
      <c r="C98" s="13">
        <v>168000</v>
      </c>
      <c r="D98" s="13"/>
      <c r="E98" s="13"/>
      <c r="F98" s="13"/>
    </row>
    <row r="119" spans="2:5" x14ac:dyDescent="0.25">
      <c r="B119" s="13">
        <f>SUM(B98:B118)</f>
        <v>129000</v>
      </c>
      <c r="C119" s="13">
        <f>SUM(C98:C118)</f>
        <v>168000</v>
      </c>
      <c r="E119" s="13">
        <f>SUM(B119:D119)</f>
        <v>297000</v>
      </c>
    </row>
    <row r="144" spans="4:4" x14ac:dyDescent="0.25">
      <c r="D144" t="s">
        <v>527</v>
      </c>
    </row>
    <row r="145" spans="1:5" x14ac:dyDescent="0.25">
      <c r="A145" s="260" t="s">
        <v>294</v>
      </c>
      <c r="B145" s="252" t="s">
        <v>64</v>
      </c>
      <c r="C145" s="252"/>
      <c r="D145" s="252"/>
    </row>
    <row r="146" spans="1:5" x14ac:dyDescent="0.25">
      <c r="A146" s="286" t="s">
        <v>518</v>
      </c>
      <c r="B146" s="13">
        <v>226000</v>
      </c>
      <c r="C146" s="13"/>
      <c r="D146" s="13"/>
      <c r="E146" s="13"/>
    </row>
    <row r="147" spans="1:5" x14ac:dyDescent="0.25">
      <c r="A147" t="s">
        <v>523</v>
      </c>
      <c r="B147" s="13">
        <v>11000</v>
      </c>
    </row>
    <row r="148" spans="1:5" x14ac:dyDescent="0.25">
      <c r="A148" t="s">
        <v>520</v>
      </c>
      <c r="B148" s="13">
        <v>11000</v>
      </c>
    </row>
    <row r="164" spans="2:2" x14ac:dyDescent="0.25">
      <c r="B164" s="13">
        <f>SUM(B146:B163)</f>
        <v>248000</v>
      </c>
    </row>
  </sheetData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40"/>
  <sheetViews>
    <sheetView showGridLines="0" zoomScaleNormal="100" workbookViewId="0">
      <selection activeCell="P8" sqref="P8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6384" width="9" style="325"/>
  </cols>
  <sheetData>
    <row r="1" spans="1:11" ht="57.95" customHeight="1" thickBot="1" x14ac:dyDescent="0.3">
      <c r="A1" s="344"/>
      <c r="B1" s="343" t="s">
        <v>504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453</v>
      </c>
      <c r="E2" s="335" t="s">
        <v>434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/>
    </row>
    <row r="3" spans="1:11" ht="33.950000000000003" customHeight="1" x14ac:dyDescent="0.25">
      <c r="B3" s="330">
        <v>1</v>
      </c>
      <c r="C3" s="333" t="s">
        <v>502</v>
      </c>
      <c r="D3" s="348" t="s">
        <v>447</v>
      </c>
      <c r="E3" s="333"/>
      <c r="F3" s="379"/>
      <c r="G3" s="379"/>
      <c r="H3" s="376"/>
      <c r="I3" s="376"/>
      <c r="J3" s="349">
        <v>50000</v>
      </c>
      <c r="K3" s="331"/>
    </row>
    <row r="4" spans="1:11" ht="33.950000000000003" customHeight="1" x14ac:dyDescent="0.25">
      <c r="B4" s="330">
        <v>2</v>
      </c>
      <c r="C4" s="333" t="s">
        <v>468</v>
      </c>
      <c r="D4" s="333"/>
      <c r="E4" s="333" t="s">
        <v>513</v>
      </c>
      <c r="F4" s="333" t="s">
        <v>514</v>
      </c>
      <c r="G4" s="377"/>
      <c r="H4" s="376"/>
      <c r="I4" s="376"/>
      <c r="J4" s="326"/>
      <c r="K4" s="331"/>
    </row>
    <row r="5" spans="1:11" ht="33.950000000000003" customHeight="1" x14ac:dyDescent="0.25">
      <c r="B5" s="330">
        <v>3</v>
      </c>
      <c r="C5" s="333" t="s">
        <v>512</v>
      </c>
      <c r="D5" s="348" t="s">
        <v>447</v>
      </c>
      <c r="E5" s="333"/>
      <c r="F5" s="379"/>
      <c r="G5" s="377"/>
      <c r="H5" s="376"/>
      <c r="I5" s="376"/>
      <c r="J5" s="349">
        <v>500</v>
      </c>
      <c r="K5" s="331"/>
    </row>
    <row r="6" spans="1:11" ht="33.950000000000003" customHeight="1" x14ac:dyDescent="0.25">
      <c r="B6" s="330">
        <v>4</v>
      </c>
      <c r="C6" s="333" t="s">
        <v>473</v>
      </c>
      <c r="D6" s="333"/>
      <c r="E6" s="333" t="s">
        <v>513</v>
      </c>
      <c r="F6" s="333" t="s">
        <v>514</v>
      </c>
      <c r="G6" s="377"/>
      <c r="H6" s="376"/>
      <c r="I6" s="376"/>
      <c r="J6" s="326"/>
      <c r="K6" s="331"/>
    </row>
    <row r="7" spans="1:11" ht="33.950000000000003" customHeight="1" x14ac:dyDescent="0.25">
      <c r="B7" s="330">
        <v>5</v>
      </c>
      <c r="C7" s="333"/>
      <c r="D7" s="333"/>
      <c r="E7" s="333"/>
      <c r="F7" s="378"/>
      <c r="G7" s="377"/>
      <c r="H7" s="376"/>
      <c r="I7" s="376"/>
      <c r="J7" s="326"/>
      <c r="K7" s="331"/>
    </row>
    <row r="8" spans="1:11" ht="33.950000000000003" customHeight="1" x14ac:dyDescent="0.25">
      <c r="B8" s="330">
        <v>6</v>
      </c>
      <c r="C8" s="333"/>
      <c r="D8" s="333"/>
      <c r="E8" s="333"/>
      <c r="F8" s="377"/>
      <c r="G8" s="377"/>
      <c r="H8" s="376"/>
      <c r="I8" s="376"/>
      <c r="J8" s="326"/>
      <c r="K8" s="331"/>
    </row>
    <row r="9" spans="1:11" ht="33.950000000000003" customHeight="1" x14ac:dyDescent="0.25">
      <c r="B9" s="330">
        <v>7</v>
      </c>
      <c r="C9" s="333"/>
      <c r="D9" s="333"/>
      <c r="E9" s="333"/>
      <c r="F9" s="377"/>
      <c r="G9" s="377"/>
      <c r="H9" s="376"/>
      <c r="I9" s="376"/>
      <c r="J9" s="326"/>
      <c r="K9" s="331"/>
    </row>
    <row r="10" spans="1:11" ht="33.950000000000003" customHeight="1" x14ac:dyDescent="0.25">
      <c r="B10" s="330">
        <v>8</v>
      </c>
      <c r="C10" s="333"/>
      <c r="D10" s="333"/>
      <c r="E10" s="333"/>
      <c r="F10" s="377"/>
      <c r="G10" s="377"/>
      <c r="H10" s="376"/>
      <c r="I10" s="376"/>
      <c r="J10" s="326"/>
      <c r="K10" s="331"/>
    </row>
    <row r="11" spans="1:11" ht="33.950000000000003" customHeight="1" x14ac:dyDescent="0.25">
      <c r="B11" s="330">
        <v>9</v>
      </c>
      <c r="C11" s="333"/>
      <c r="D11" s="333"/>
      <c r="E11" s="333"/>
      <c r="F11" s="377"/>
      <c r="G11" s="377"/>
      <c r="H11" s="376"/>
      <c r="I11" s="376"/>
      <c r="J11" s="326"/>
      <c r="K11" s="331"/>
    </row>
    <row r="12" spans="1:11" ht="33.950000000000003" customHeight="1" x14ac:dyDescent="0.25">
      <c r="B12" s="330">
        <v>10</v>
      </c>
      <c r="C12" s="333"/>
      <c r="D12" s="333"/>
      <c r="E12" s="333"/>
      <c r="F12" s="377"/>
      <c r="G12" s="377"/>
      <c r="H12" s="376"/>
      <c r="I12" s="376"/>
      <c r="J12" s="326"/>
      <c r="K12" s="331"/>
    </row>
    <row r="13" spans="1:11" ht="33.950000000000003" customHeight="1" x14ac:dyDescent="0.25">
      <c r="B13" s="330">
        <v>11</v>
      </c>
      <c r="C13" s="333"/>
      <c r="D13" s="333"/>
      <c r="E13" s="333"/>
      <c r="F13" s="377"/>
      <c r="G13" s="377"/>
      <c r="H13" s="376"/>
      <c r="I13" s="376"/>
      <c r="J13" s="326"/>
      <c r="K13" s="331"/>
    </row>
    <row r="14" spans="1:11" ht="33.950000000000003" customHeight="1" x14ac:dyDescent="0.25">
      <c r="B14" s="330">
        <v>12</v>
      </c>
      <c r="C14" s="333"/>
      <c r="D14" s="333"/>
      <c r="E14" s="333"/>
      <c r="F14" s="377"/>
      <c r="G14" s="377"/>
      <c r="H14" s="376"/>
      <c r="I14" s="376"/>
      <c r="J14" s="326"/>
      <c r="K14" s="331"/>
    </row>
    <row r="15" spans="1:11" ht="33.950000000000003" customHeight="1" x14ac:dyDescent="0.25">
      <c r="B15" s="330">
        <v>13</v>
      </c>
      <c r="C15" s="333"/>
      <c r="D15" s="333"/>
      <c r="E15" s="333"/>
      <c r="F15" s="377"/>
      <c r="G15" s="377"/>
      <c r="H15" s="376"/>
      <c r="I15" s="376"/>
      <c r="J15" s="326"/>
    </row>
    <row r="16" spans="1:11" ht="33.950000000000003" customHeight="1" x14ac:dyDescent="0.25">
      <c r="B16" s="330">
        <v>14</v>
      </c>
      <c r="C16" s="333"/>
      <c r="D16" s="333"/>
      <c r="E16" s="333"/>
      <c r="F16" s="377"/>
      <c r="G16" s="377"/>
      <c r="H16" s="376"/>
      <c r="I16" s="376"/>
      <c r="J16" s="326"/>
    </row>
    <row r="17" spans="2:10" ht="33.950000000000003" customHeight="1" x14ac:dyDescent="0.25">
      <c r="B17" s="330">
        <v>15</v>
      </c>
      <c r="C17" s="333"/>
      <c r="D17" s="333"/>
      <c r="E17" s="333"/>
      <c r="F17" s="377"/>
      <c r="G17" s="377"/>
      <c r="H17" s="376"/>
      <c r="I17" s="376"/>
      <c r="J17" s="326"/>
    </row>
    <row r="18" spans="2:10" ht="33.950000000000003" customHeight="1" x14ac:dyDescent="0.25">
      <c r="B18" s="330">
        <v>16</v>
      </c>
      <c r="C18" s="333"/>
      <c r="D18" s="333"/>
      <c r="E18" s="333"/>
      <c r="F18" s="377"/>
      <c r="G18" s="377"/>
      <c r="H18" s="376"/>
      <c r="I18" s="376"/>
      <c r="J18" s="326"/>
    </row>
    <row r="19" spans="2:10" ht="33.950000000000003" customHeight="1" x14ac:dyDescent="0.25">
      <c r="B19" s="330">
        <v>17</v>
      </c>
      <c r="C19" s="333"/>
      <c r="D19" s="333"/>
      <c r="E19" s="333"/>
      <c r="F19" s="377"/>
      <c r="G19" s="377"/>
      <c r="H19" s="376"/>
      <c r="I19" s="376"/>
      <c r="J19" s="326"/>
    </row>
    <row r="20" spans="2:10" ht="33.950000000000003" customHeight="1" x14ac:dyDescent="0.25">
      <c r="B20" s="330">
        <v>18</v>
      </c>
      <c r="C20" s="333"/>
      <c r="D20" s="333"/>
      <c r="E20" s="333"/>
      <c r="F20" s="377"/>
      <c r="G20" s="377"/>
      <c r="H20" s="376"/>
      <c r="I20" s="376"/>
      <c r="J20" s="326"/>
    </row>
    <row r="21" spans="2:10" ht="33.950000000000003" customHeight="1" x14ac:dyDescent="0.25">
      <c r="B21" s="330">
        <v>19</v>
      </c>
      <c r="C21" s="333"/>
      <c r="D21" s="333"/>
      <c r="E21" s="333"/>
      <c r="F21" s="377"/>
      <c r="G21" s="377"/>
      <c r="H21" s="376"/>
      <c r="I21" s="376"/>
      <c r="J21" s="326"/>
    </row>
    <row r="22" spans="2:10" ht="33.950000000000003" customHeight="1" x14ac:dyDescent="0.25">
      <c r="B22" s="330">
        <v>20</v>
      </c>
      <c r="C22" s="333"/>
      <c r="D22" s="333"/>
      <c r="E22" s="333"/>
      <c r="F22" s="377"/>
      <c r="G22" s="377"/>
      <c r="H22" s="376"/>
      <c r="I22" s="376"/>
      <c r="J22" s="326"/>
    </row>
    <row r="23" spans="2:10" ht="33.950000000000003" customHeight="1" x14ac:dyDescent="0.25">
      <c r="B23" s="330">
        <v>21</v>
      </c>
      <c r="C23" s="333"/>
      <c r="D23" s="333"/>
      <c r="E23" s="333"/>
      <c r="F23" s="377"/>
      <c r="G23" s="377"/>
      <c r="H23" s="376"/>
      <c r="I23" s="376"/>
      <c r="J23" s="326"/>
    </row>
    <row r="24" spans="2:10" ht="33.950000000000003" customHeight="1" x14ac:dyDescent="0.25">
      <c r="B24" s="330">
        <v>22</v>
      </c>
      <c r="C24" s="333"/>
      <c r="D24" s="333"/>
      <c r="E24" s="333"/>
      <c r="F24" s="377"/>
      <c r="G24" s="377"/>
      <c r="H24" s="376"/>
      <c r="I24" s="376"/>
      <c r="J24" s="326"/>
    </row>
    <row r="25" spans="2:10" ht="33.950000000000003" customHeight="1" x14ac:dyDescent="0.25">
      <c r="B25" s="330">
        <v>23</v>
      </c>
      <c r="C25" s="333"/>
      <c r="D25" s="333"/>
      <c r="E25" s="333"/>
      <c r="F25" s="377"/>
      <c r="G25" s="377"/>
      <c r="H25" s="376"/>
      <c r="I25" s="376"/>
      <c r="J25" s="326"/>
    </row>
    <row r="26" spans="2:10" ht="33.950000000000003" customHeight="1" x14ac:dyDescent="0.25">
      <c r="B26" s="330">
        <v>24</v>
      </c>
      <c r="C26" s="333"/>
      <c r="D26" s="333"/>
      <c r="E26" s="333"/>
      <c r="F26" s="377"/>
      <c r="G26" s="377"/>
      <c r="H26" s="376"/>
      <c r="I26" s="376"/>
      <c r="J26" s="326"/>
    </row>
    <row r="27" spans="2:10" ht="33.950000000000003" customHeight="1" x14ac:dyDescent="0.25">
      <c r="B27" s="330">
        <v>25</v>
      </c>
      <c r="C27" s="333"/>
      <c r="D27" s="333"/>
      <c r="E27" s="333"/>
      <c r="F27" s="377"/>
      <c r="G27" s="377"/>
      <c r="H27" s="376"/>
      <c r="I27" s="376"/>
      <c r="J27" s="326"/>
    </row>
    <row r="28" spans="2:10" ht="33.950000000000003" customHeight="1" x14ac:dyDescent="0.25">
      <c r="B28" s="330">
        <v>26</v>
      </c>
      <c r="C28" s="333"/>
      <c r="D28" s="333"/>
      <c r="E28" s="333"/>
      <c r="F28" s="377"/>
      <c r="G28" s="377"/>
      <c r="H28" s="376"/>
      <c r="I28" s="376"/>
      <c r="J28" s="326"/>
    </row>
    <row r="29" spans="2:10" ht="33.950000000000003" customHeight="1" x14ac:dyDescent="0.25">
      <c r="B29" s="330">
        <v>27</v>
      </c>
      <c r="C29" s="333"/>
      <c r="D29" s="333"/>
      <c r="E29" s="333"/>
      <c r="F29" s="377"/>
      <c r="G29" s="377"/>
      <c r="H29" s="376"/>
      <c r="I29" s="376"/>
      <c r="J29" s="326"/>
    </row>
    <row r="30" spans="2:10" ht="33.950000000000003" customHeight="1" x14ac:dyDescent="0.25">
      <c r="B30" s="330">
        <v>28</v>
      </c>
      <c r="C30" s="333"/>
      <c r="D30" s="333"/>
      <c r="E30" s="333"/>
      <c r="F30" s="377"/>
      <c r="G30" s="377"/>
      <c r="H30" s="376"/>
      <c r="I30" s="376"/>
      <c r="J30" s="326"/>
    </row>
    <row r="31" spans="2:10" ht="33.950000000000003" customHeight="1" x14ac:dyDescent="0.25">
      <c r="B31" s="330">
        <v>29</v>
      </c>
      <c r="C31" s="375"/>
      <c r="D31" s="374"/>
      <c r="E31" s="374"/>
      <c r="F31" s="372"/>
      <c r="G31" s="373"/>
      <c r="H31" s="372"/>
      <c r="I31" s="372"/>
      <c r="J31" s="365"/>
    </row>
    <row r="32" spans="2:10" ht="33.950000000000003" customHeight="1" x14ac:dyDescent="0.25">
      <c r="B32" s="330">
        <v>30</v>
      </c>
      <c r="C32" s="375"/>
      <c r="D32" s="374"/>
      <c r="E32" s="374"/>
      <c r="F32" s="372"/>
      <c r="G32" s="373"/>
      <c r="H32" s="372"/>
      <c r="I32" s="372"/>
      <c r="J32" s="365"/>
    </row>
    <row r="33" spans="2:10" ht="33.950000000000003" customHeight="1" x14ac:dyDescent="0.25">
      <c r="B33" s="330">
        <v>31</v>
      </c>
      <c r="C33" s="375"/>
      <c r="D33" s="374"/>
      <c r="E33" s="374"/>
      <c r="F33" s="372"/>
      <c r="G33" s="373"/>
      <c r="H33" s="372"/>
      <c r="I33" s="372"/>
      <c r="J33" s="365"/>
    </row>
    <row r="34" spans="2:10" ht="33.950000000000003" customHeight="1" x14ac:dyDescent="0.25">
      <c r="B34" s="330">
        <v>32</v>
      </c>
      <c r="C34" s="375"/>
      <c r="D34" s="374"/>
      <c r="E34" s="374"/>
      <c r="F34" s="372"/>
      <c r="G34" s="373"/>
      <c r="H34" s="372"/>
      <c r="I34" s="372"/>
      <c r="J34" s="365"/>
    </row>
    <row r="35" spans="2:10" ht="33.950000000000003" customHeight="1" x14ac:dyDescent="0.25">
      <c r="B35" s="330">
        <v>33</v>
      </c>
      <c r="C35" s="375"/>
      <c r="D35" s="374"/>
      <c r="E35" s="374"/>
      <c r="F35" s="372"/>
      <c r="G35" s="373"/>
      <c r="H35" s="372"/>
      <c r="I35" s="372"/>
      <c r="J35" s="365"/>
    </row>
    <row r="36" spans="2:10" ht="33.950000000000003" customHeight="1" x14ac:dyDescent="0.25">
      <c r="B36" s="330">
        <v>34</v>
      </c>
      <c r="C36" s="375"/>
      <c r="D36" s="374"/>
      <c r="E36" s="374"/>
      <c r="F36" s="372"/>
      <c r="G36" s="373"/>
      <c r="H36" s="372"/>
      <c r="I36" s="372"/>
      <c r="J36" s="365"/>
    </row>
    <row r="37" spans="2:10" ht="33.950000000000003" customHeight="1" x14ac:dyDescent="0.25">
      <c r="B37" s="330">
        <v>35</v>
      </c>
      <c r="C37" s="375"/>
      <c r="D37" s="374"/>
      <c r="E37" s="374"/>
      <c r="F37" s="372"/>
      <c r="G37" s="373"/>
      <c r="H37" s="372"/>
      <c r="I37" s="372"/>
      <c r="J37" s="365"/>
    </row>
    <row r="38" spans="2:10" ht="33.950000000000003" customHeight="1" x14ac:dyDescent="0.25">
      <c r="B38" s="330">
        <v>36</v>
      </c>
      <c r="C38" s="375"/>
      <c r="D38" s="374"/>
      <c r="E38" s="374"/>
      <c r="F38" s="372"/>
      <c r="G38" s="373"/>
      <c r="H38" s="372"/>
      <c r="I38" s="372"/>
      <c r="J38" s="365"/>
    </row>
    <row r="39" spans="2:10" ht="33.950000000000003" customHeight="1" x14ac:dyDescent="0.25">
      <c r="B39" s="330">
        <v>37</v>
      </c>
      <c r="C39" s="375"/>
      <c r="D39" s="374"/>
      <c r="E39" s="374"/>
      <c r="F39" s="372"/>
      <c r="G39" s="373"/>
      <c r="H39" s="372"/>
      <c r="I39" s="372"/>
      <c r="J39" s="365"/>
    </row>
    <row r="40" spans="2:10" ht="33.950000000000003" customHeight="1" x14ac:dyDescent="0.25">
      <c r="B40" s="330">
        <v>38</v>
      </c>
      <c r="C40" s="375"/>
      <c r="D40" s="374"/>
      <c r="E40" s="374"/>
      <c r="F40" s="372"/>
      <c r="G40" s="373"/>
      <c r="H40" s="372"/>
      <c r="I40" s="372"/>
      <c r="J40" s="365"/>
    </row>
  </sheetData>
  <sheetProtection formatCells="0" formatColumns="0" formatRows="0" selectLockedCells="1" sort="0"/>
  <conditionalFormatting sqref="J3:J40">
    <cfRule type="expression" dxfId="71" priority="23">
      <formula>MOD(ROW(),2)=1</formula>
    </cfRule>
  </conditionalFormatting>
  <conditionalFormatting sqref="J3:J40">
    <cfRule type="expression" dxfId="70" priority="24">
      <formula>MOD(ROW(),2)=0</formula>
    </cfRule>
  </conditionalFormatting>
  <conditionalFormatting sqref="J15">
    <cfRule type="expression" dxfId="69" priority="21">
      <formula>MOD(ROW(),2)=1</formula>
    </cfRule>
  </conditionalFormatting>
  <conditionalFormatting sqref="J15">
    <cfRule type="expression" dxfId="68" priority="22">
      <formula>MOD(ROW(),2)=0</formula>
    </cfRule>
  </conditionalFormatting>
  <conditionalFormatting sqref="J16:J17">
    <cfRule type="expression" dxfId="67" priority="19">
      <formula>MOD(ROW(),2)=1</formula>
    </cfRule>
  </conditionalFormatting>
  <conditionalFormatting sqref="J16:J17">
    <cfRule type="expression" dxfId="66" priority="20">
      <formula>MOD(ROW(),2)=0</formula>
    </cfRule>
  </conditionalFormatting>
  <conditionalFormatting sqref="J18:J20">
    <cfRule type="expression" dxfId="65" priority="17">
      <formula>MOD(ROW(),2)=1</formula>
    </cfRule>
  </conditionalFormatting>
  <conditionalFormatting sqref="J18:J20">
    <cfRule type="expression" dxfId="64" priority="18">
      <formula>MOD(ROW(),2)=0</formula>
    </cfRule>
  </conditionalFormatting>
  <conditionalFormatting sqref="J18">
    <cfRule type="expression" dxfId="63" priority="15">
      <formula>MOD(ROW(),2)=1</formula>
    </cfRule>
  </conditionalFormatting>
  <conditionalFormatting sqref="J18">
    <cfRule type="expression" dxfId="62" priority="16">
      <formula>MOD(ROW(),2)=0</formula>
    </cfRule>
  </conditionalFormatting>
  <conditionalFormatting sqref="J19:J20">
    <cfRule type="expression" dxfId="61" priority="13">
      <formula>MOD(ROW(),2)=1</formula>
    </cfRule>
  </conditionalFormatting>
  <conditionalFormatting sqref="J19:J20">
    <cfRule type="expression" dxfId="60" priority="14">
      <formula>MOD(ROW(),2)=0</formula>
    </cfRule>
  </conditionalFormatting>
  <conditionalFormatting sqref="J21:J30">
    <cfRule type="expression" dxfId="59" priority="11">
      <formula>MOD(ROW(),2)=1</formula>
    </cfRule>
  </conditionalFormatting>
  <conditionalFormatting sqref="J21:J30">
    <cfRule type="expression" dxfId="58" priority="12">
      <formula>MOD(ROW(),2)=0</formula>
    </cfRule>
  </conditionalFormatting>
  <conditionalFormatting sqref="J25">
    <cfRule type="expression" dxfId="57" priority="9">
      <formula>MOD(ROW(),2)=1</formula>
    </cfRule>
  </conditionalFormatting>
  <conditionalFormatting sqref="J25">
    <cfRule type="expression" dxfId="56" priority="10">
      <formula>MOD(ROW(),2)=0</formula>
    </cfRule>
  </conditionalFormatting>
  <conditionalFormatting sqref="J26:J27">
    <cfRule type="expression" dxfId="55" priority="7">
      <formula>MOD(ROW(),2)=1</formula>
    </cfRule>
  </conditionalFormatting>
  <conditionalFormatting sqref="J26:J27">
    <cfRule type="expression" dxfId="54" priority="8">
      <formula>MOD(ROW(),2)=0</formula>
    </cfRule>
  </conditionalFormatting>
  <conditionalFormatting sqref="J28:J30">
    <cfRule type="expression" dxfId="53" priority="5">
      <formula>MOD(ROW(),2)=1</formula>
    </cfRule>
  </conditionalFormatting>
  <conditionalFormatting sqref="J28:J30">
    <cfRule type="expression" dxfId="52" priority="6">
      <formula>MOD(ROW(),2)=0</formula>
    </cfRule>
  </conditionalFormatting>
  <conditionalFormatting sqref="J28">
    <cfRule type="expression" dxfId="51" priority="3">
      <formula>MOD(ROW(),2)=1</formula>
    </cfRule>
  </conditionalFormatting>
  <conditionalFormatting sqref="J28">
    <cfRule type="expression" dxfId="50" priority="4">
      <formula>MOD(ROW(),2)=0</formula>
    </cfRule>
  </conditionalFormatting>
  <conditionalFormatting sqref="J29:J30">
    <cfRule type="expression" dxfId="49" priority="1">
      <formula>MOD(ROW(),2)=1</formula>
    </cfRule>
  </conditionalFormatting>
  <conditionalFormatting sqref="J29:J30">
    <cfRule type="expression" dxfId="48" priority="2">
      <formula>MOD(ROW(),2)=0</formula>
    </cfRule>
  </conditionalFormatting>
  <dataValidations count="7">
    <dataValidation allowBlank="1" showInputMessage="1" showErrorMessage="1" prompt="Enter Description in this column under this heading" sqref="C2:E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"/>
    <dataValidation allowBlank="1" showInputMessage="1" showErrorMessage="1" prompt="Enter Unit Price in this column under this heading" sqref="F2:G2"/>
    <dataValidation allowBlank="1" showInputMessage="1" showErrorMessage="1" prompt="Enter Discount in this column under this heading" sqref="H2:I2"/>
    <dataValidation allowBlank="1" showInputMessage="1" showErrorMessage="1" prompt="Enter Price in this column under this heading" sqref="J2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17"/>
  <sheetViews>
    <sheetView showGridLines="0" zoomScaleNormal="100" workbookViewId="0">
      <selection activeCell="C3" sqref="C3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6384" width="9" style="325"/>
  </cols>
  <sheetData>
    <row r="1" spans="1:11" ht="57.95" customHeight="1" thickBot="1" x14ac:dyDescent="0.3">
      <c r="A1" s="344"/>
      <c r="B1" s="343" t="s">
        <v>481</v>
      </c>
      <c r="C1" s="342" t="s">
        <v>18</v>
      </c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480</v>
      </c>
      <c r="E2" s="335" t="s">
        <v>434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/>
    </row>
    <row r="3" spans="1:11" ht="33.950000000000003" customHeight="1" x14ac:dyDescent="0.25">
      <c r="B3" s="330">
        <v>1</v>
      </c>
      <c r="C3" s="333"/>
      <c r="D3" s="333"/>
      <c r="E3" s="333"/>
      <c r="F3" s="332"/>
      <c r="G3" s="332"/>
      <c r="H3" s="327"/>
      <c r="I3" s="327"/>
      <c r="J3" s="326"/>
      <c r="K3" s="331"/>
    </row>
    <row r="4" spans="1:11" ht="33.950000000000003" customHeight="1" x14ac:dyDescent="0.25">
      <c r="B4" s="330">
        <v>2</v>
      </c>
      <c r="C4" s="333"/>
      <c r="D4" s="333"/>
      <c r="E4" s="333"/>
      <c r="F4" s="332"/>
      <c r="G4" s="328"/>
      <c r="H4" s="327"/>
      <c r="I4" s="327"/>
      <c r="J4" s="326"/>
      <c r="K4" s="331"/>
    </row>
    <row r="5" spans="1:11" ht="33.950000000000003" customHeight="1" x14ac:dyDescent="0.25">
      <c r="B5" s="330">
        <v>3</v>
      </c>
      <c r="C5" s="333"/>
      <c r="D5" s="329"/>
      <c r="E5" s="329"/>
      <c r="F5" s="332"/>
      <c r="G5" s="328"/>
      <c r="H5" s="327"/>
      <c r="I5" s="327"/>
      <c r="J5" s="326"/>
      <c r="K5" s="331"/>
    </row>
    <row r="6" spans="1:11" ht="33.950000000000003" customHeight="1" x14ac:dyDescent="0.25">
      <c r="B6" s="330">
        <v>4</v>
      </c>
      <c r="C6" s="329"/>
      <c r="D6" s="329"/>
      <c r="E6" s="329"/>
      <c r="F6" s="328"/>
      <c r="G6" s="328"/>
      <c r="H6" s="327"/>
      <c r="I6" s="327"/>
      <c r="J6" s="326"/>
      <c r="K6" s="331"/>
    </row>
    <row r="7" spans="1:11" ht="33.950000000000003" customHeight="1" x14ac:dyDescent="0.25">
      <c r="B7" s="330">
        <v>5</v>
      </c>
      <c r="C7" s="329"/>
      <c r="D7" s="329"/>
      <c r="E7" s="329"/>
      <c r="F7" s="328"/>
      <c r="G7" s="328"/>
      <c r="H7" s="327"/>
      <c r="I7" s="327"/>
      <c r="J7" s="326"/>
      <c r="K7" s="331"/>
    </row>
    <row r="8" spans="1:11" ht="33.950000000000003" customHeight="1" x14ac:dyDescent="0.25">
      <c r="B8" s="330">
        <v>6</v>
      </c>
      <c r="C8" s="329"/>
      <c r="D8" s="329"/>
      <c r="E8" s="329"/>
      <c r="F8" s="328"/>
      <c r="G8" s="328"/>
      <c r="H8" s="327"/>
      <c r="I8" s="327"/>
      <c r="J8" s="326"/>
      <c r="K8" s="331"/>
    </row>
    <row r="9" spans="1:11" ht="33.950000000000003" customHeight="1" x14ac:dyDescent="0.25">
      <c r="B9" s="330">
        <v>7</v>
      </c>
      <c r="C9" s="329"/>
      <c r="D9" s="329"/>
      <c r="E9" s="329"/>
      <c r="F9" s="328"/>
      <c r="G9" s="328"/>
      <c r="H9" s="327"/>
      <c r="I9" s="327"/>
      <c r="J9" s="326"/>
      <c r="K9" s="331"/>
    </row>
    <row r="10" spans="1:11" ht="33.950000000000003" customHeight="1" x14ac:dyDescent="0.25">
      <c r="B10" s="330">
        <v>8</v>
      </c>
      <c r="C10" s="329"/>
      <c r="D10" s="329"/>
      <c r="E10" s="329"/>
      <c r="F10" s="328"/>
      <c r="G10" s="328"/>
      <c r="H10" s="327"/>
      <c r="I10" s="327"/>
      <c r="J10" s="326"/>
      <c r="K10" s="331"/>
    </row>
    <row r="11" spans="1:11" ht="33.950000000000003" customHeight="1" x14ac:dyDescent="0.25">
      <c r="B11" s="330">
        <v>9</v>
      </c>
      <c r="C11" s="329"/>
      <c r="D11" s="329"/>
      <c r="E11" s="329"/>
      <c r="F11" s="328"/>
      <c r="G11" s="328"/>
      <c r="H11" s="327"/>
      <c r="I11" s="327"/>
      <c r="J11" s="326"/>
      <c r="K11" s="331"/>
    </row>
    <row r="12" spans="1:11" ht="33.950000000000003" customHeight="1" x14ac:dyDescent="0.25">
      <c r="B12" s="330">
        <v>10</v>
      </c>
      <c r="C12" s="329"/>
      <c r="D12" s="329"/>
      <c r="E12" s="329"/>
      <c r="F12" s="328"/>
      <c r="G12" s="328"/>
      <c r="H12" s="327"/>
      <c r="I12" s="327"/>
      <c r="J12" s="326"/>
      <c r="K12" s="331"/>
    </row>
    <row r="13" spans="1:11" ht="33.950000000000003" customHeight="1" x14ac:dyDescent="0.25">
      <c r="B13" s="330">
        <v>11</v>
      </c>
      <c r="C13" s="329"/>
      <c r="D13" s="329"/>
      <c r="E13" s="329"/>
      <c r="F13" s="328"/>
      <c r="G13" s="328"/>
      <c r="H13" s="327"/>
      <c r="I13" s="327"/>
      <c r="J13" s="326"/>
      <c r="K13" s="331"/>
    </row>
    <row r="14" spans="1:11" ht="33.950000000000003" customHeight="1" x14ac:dyDescent="0.25">
      <c r="B14" s="330">
        <v>12</v>
      </c>
      <c r="C14" s="329"/>
      <c r="D14" s="329"/>
      <c r="E14" s="329"/>
      <c r="F14" s="328"/>
      <c r="G14" s="328"/>
      <c r="H14" s="327"/>
      <c r="I14" s="327"/>
      <c r="J14" s="326"/>
      <c r="K14" s="331"/>
    </row>
    <row r="15" spans="1:11" ht="33.950000000000003" customHeight="1" x14ac:dyDescent="0.25">
      <c r="B15" s="330">
        <v>13</v>
      </c>
      <c r="C15" s="329"/>
      <c r="D15" s="329"/>
      <c r="E15" s="329"/>
      <c r="F15" s="328"/>
      <c r="G15" s="328"/>
      <c r="H15" s="327"/>
      <c r="I15" s="327"/>
      <c r="J15" s="326"/>
    </row>
    <row r="16" spans="1:11" ht="33.950000000000003" customHeight="1" x14ac:dyDescent="0.25">
      <c r="B16" s="330">
        <v>14</v>
      </c>
      <c r="C16" s="329"/>
      <c r="D16" s="329"/>
      <c r="E16" s="329"/>
      <c r="F16" s="328"/>
      <c r="G16" s="328"/>
      <c r="H16" s="327"/>
      <c r="I16" s="327"/>
      <c r="J16" s="326"/>
    </row>
    <row r="17" spans="2:10" ht="33.950000000000003" customHeight="1" x14ac:dyDescent="0.25">
      <c r="B17" s="330">
        <v>15</v>
      </c>
      <c r="C17" s="329"/>
      <c r="D17" s="329"/>
      <c r="E17" s="329"/>
      <c r="F17" s="328"/>
      <c r="G17" s="328"/>
      <c r="H17" s="327"/>
      <c r="I17" s="327"/>
      <c r="J17" s="326"/>
    </row>
  </sheetData>
  <sheetProtection formatCells="0" formatColumns="0" formatRows="0" selectLockedCells="1" sort="0"/>
  <conditionalFormatting sqref="J3:J17">
    <cfRule type="expression" dxfId="39" priority="5">
      <formula>MOD(ROW(),2)=1</formula>
    </cfRule>
  </conditionalFormatting>
  <conditionalFormatting sqref="J3:J17">
    <cfRule type="expression" dxfId="38" priority="6">
      <formula>MOD(ROW(),2)=0</formula>
    </cfRule>
  </conditionalFormatting>
  <conditionalFormatting sqref="J15">
    <cfRule type="expression" dxfId="37" priority="3">
      <formula>MOD(ROW(),2)=1</formula>
    </cfRule>
  </conditionalFormatting>
  <conditionalFormatting sqref="J15">
    <cfRule type="expression" dxfId="36" priority="4">
      <formula>MOD(ROW(),2)=0</formula>
    </cfRule>
  </conditionalFormatting>
  <conditionalFormatting sqref="J16:J17">
    <cfRule type="expression" dxfId="35" priority="1">
      <formula>MOD(ROW(),2)=1</formula>
    </cfRule>
  </conditionalFormatting>
  <conditionalFormatting sqref="J16:J17">
    <cfRule type="expression" dxfId="34" priority="2">
      <formula>MOD(ROW(),2)=0</formula>
    </cfRule>
  </conditionalFormatting>
  <dataValidations count="7">
    <dataValidation allowBlank="1" showInputMessage="1" showErrorMessage="1" prompt="Enter Description in this column under this heading" sqref="C2:E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"/>
    <dataValidation allowBlank="1" showInputMessage="1" showErrorMessage="1" prompt="Enter Unit Price in this column under this heading" sqref="F2:G2"/>
    <dataValidation allowBlank="1" showInputMessage="1" showErrorMessage="1" prompt="Enter Discount in this column under this heading" sqref="H2:I2"/>
    <dataValidation allowBlank="1" showInputMessage="1" showErrorMessage="1" prompt="Enter Price in this column under this heading" sqref="J2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18"/>
  <sheetViews>
    <sheetView showGridLines="0" topLeftCell="B1" zoomScaleNormal="100" workbookViewId="0">
      <selection activeCell="J7" sqref="J7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6384" width="9" style="325"/>
  </cols>
  <sheetData>
    <row r="1" spans="1:11" ht="57.95" customHeight="1" thickBot="1" x14ac:dyDescent="0.3">
      <c r="A1" s="344"/>
      <c r="B1" s="343" t="s">
        <v>494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453</v>
      </c>
      <c r="E2" s="335" t="s">
        <v>434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/>
    </row>
    <row r="3" spans="1:11" ht="33.950000000000003" customHeight="1" x14ac:dyDescent="0.25">
      <c r="B3" s="330">
        <v>1</v>
      </c>
      <c r="C3" s="333" t="s">
        <v>485</v>
      </c>
      <c r="D3" s="348" t="s">
        <v>446</v>
      </c>
      <c r="E3" s="333"/>
      <c r="F3" s="332"/>
      <c r="G3" s="332"/>
      <c r="H3" s="327"/>
      <c r="I3" s="327"/>
      <c r="J3" s="347">
        <v>2000</v>
      </c>
      <c r="K3" s="331"/>
    </row>
    <row r="4" spans="1:11" ht="33.950000000000003" customHeight="1" x14ac:dyDescent="0.25">
      <c r="B4" s="330">
        <v>2</v>
      </c>
      <c r="C4" s="333" t="s">
        <v>486</v>
      </c>
      <c r="D4" s="348" t="s">
        <v>446</v>
      </c>
      <c r="E4" s="333"/>
      <c r="F4" s="332"/>
      <c r="G4" s="328"/>
      <c r="H4" s="327"/>
      <c r="I4" s="327"/>
      <c r="J4" s="347">
        <v>750</v>
      </c>
      <c r="K4" s="331"/>
    </row>
    <row r="5" spans="1:11" ht="33.950000000000003" customHeight="1" x14ac:dyDescent="0.25">
      <c r="B5" s="330">
        <v>3</v>
      </c>
      <c r="C5" s="333" t="s">
        <v>487</v>
      </c>
      <c r="D5" s="348" t="s">
        <v>446</v>
      </c>
      <c r="E5" s="329"/>
      <c r="F5" s="332"/>
      <c r="G5" s="328"/>
      <c r="H5" s="327"/>
      <c r="I5" s="327"/>
      <c r="J5" s="347">
        <v>500</v>
      </c>
      <c r="K5" s="331"/>
    </row>
    <row r="6" spans="1:11" ht="33.950000000000003" customHeight="1" x14ac:dyDescent="0.25">
      <c r="B6" s="330">
        <v>4</v>
      </c>
      <c r="C6" s="333" t="s">
        <v>488</v>
      </c>
      <c r="D6" s="348" t="s">
        <v>446</v>
      </c>
      <c r="E6" s="329"/>
      <c r="F6" s="328"/>
      <c r="G6" s="328"/>
      <c r="H6" s="327"/>
      <c r="I6" s="327"/>
      <c r="J6" s="347">
        <v>1000</v>
      </c>
      <c r="K6" s="331"/>
    </row>
    <row r="7" spans="1:11" ht="33.950000000000003" customHeight="1" x14ac:dyDescent="0.25">
      <c r="B7" s="330">
        <v>5</v>
      </c>
      <c r="C7" s="333" t="s">
        <v>493</v>
      </c>
      <c r="D7" s="348" t="s">
        <v>446</v>
      </c>
      <c r="E7" s="329"/>
      <c r="F7" s="328"/>
      <c r="G7" s="328"/>
      <c r="H7" s="327"/>
      <c r="I7" s="327"/>
      <c r="J7" s="347"/>
      <c r="K7" s="331"/>
    </row>
    <row r="8" spans="1:11" ht="33.950000000000003" customHeight="1" x14ac:dyDescent="0.25">
      <c r="B8" s="330">
        <v>6</v>
      </c>
      <c r="C8" s="333" t="s">
        <v>492</v>
      </c>
      <c r="D8" s="348" t="s">
        <v>446</v>
      </c>
      <c r="E8" s="329"/>
      <c r="F8" s="328"/>
      <c r="G8" s="328"/>
      <c r="H8" s="327"/>
      <c r="I8" s="327"/>
      <c r="J8" s="347">
        <v>1200</v>
      </c>
      <c r="K8" s="331"/>
    </row>
    <row r="9" spans="1:11" ht="33.950000000000003" customHeight="1" x14ac:dyDescent="0.25">
      <c r="B9" s="330">
        <v>7</v>
      </c>
      <c r="C9" s="333" t="s">
        <v>491</v>
      </c>
      <c r="D9" s="348" t="s">
        <v>446</v>
      </c>
      <c r="E9" s="329"/>
      <c r="F9" s="328"/>
      <c r="G9" s="328"/>
      <c r="H9" s="327"/>
      <c r="I9" s="327"/>
      <c r="J9" s="347">
        <v>2600</v>
      </c>
      <c r="K9" s="331"/>
    </row>
    <row r="10" spans="1:11" ht="33.950000000000003" customHeight="1" x14ac:dyDescent="0.25">
      <c r="B10" s="330">
        <v>8</v>
      </c>
      <c r="C10" s="333" t="s">
        <v>490</v>
      </c>
      <c r="D10" s="348" t="s">
        <v>446</v>
      </c>
      <c r="E10" s="329"/>
      <c r="F10" s="328"/>
      <c r="G10" s="328"/>
      <c r="H10" s="327"/>
      <c r="I10" s="327"/>
      <c r="J10" s="347">
        <v>1500</v>
      </c>
      <c r="K10" s="331"/>
    </row>
    <row r="11" spans="1:11" ht="33.950000000000003" customHeight="1" x14ac:dyDescent="0.25">
      <c r="B11" s="330">
        <v>9</v>
      </c>
      <c r="C11" s="333" t="s">
        <v>489</v>
      </c>
      <c r="D11" s="348" t="s">
        <v>446</v>
      </c>
      <c r="E11" s="329"/>
      <c r="F11" s="328"/>
      <c r="G11" s="328"/>
      <c r="H11" s="327"/>
      <c r="I11" s="327"/>
      <c r="J11" s="347">
        <v>3500</v>
      </c>
      <c r="K11" s="331"/>
    </row>
    <row r="12" spans="1:11" ht="33.950000000000003" customHeight="1" x14ac:dyDescent="0.25">
      <c r="B12" s="330">
        <v>10</v>
      </c>
      <c r="C12" s="329"/>
      <c r="D12" s="329"/>
      <c r="E12" s="329"/>
      <c r="F12" s="328"/>
      <c r="G12" s="328"/>
      <c r="H12" s="327"/>
      <c r="I12" s="327"/>
      <c r="J12" s="326">
        <f t="shared" ref="J12:J17" si="0">IFERROR((F12*H12)-I12,"")</f>
        <v>0</v>
      </c>
      <c r="K12" s="331"/>
    </row>
    <row r="13" spans="1:11" ht="33.950000000000003" customHeight="1" x14ac:dyDescent="0.25">
      <c r="B13" s="330">
        <v>11</v>
      </c>
      <c r="C13" s="329"/>
      <c r="D13" s="329"/>
      <c r="E13" s="329"/>
      <c r="F13" s="328"/>
      <c r="G13" s="328"/>
      <c r="H13" s="327"/>
      <c r="I13" s="327"/>
      <c r="J13" s="326">
        <f t="shared" si="0"/>
        <v>0</v>
      </c>
      <c r="K13" s="331"/>
    </row>
    <row r="14" spans="1:11" ht="33.950000000000003" customHeight="1" x14ac:dyDescent="0.25">
      <c r="B14" s="330">
        <v>12</v>
      </c>
      <c r="C14" s="329"/>
      <c r="D14" s="329"/>
      <c r="E14" s="329"/>
      <c r="F14" s="328"/>
      <c r="G14" s="328"/>
      <c r="H14" s="327"/>
      <c r="I14" s="327"/>
      <c r="J14" s="326">
        <f t="shared" si="0"/>
        <v>0</v>
      </c>
      <c r="K14" s="331"/>
    </row>
    <row r="15" spans="1:11" ht="33.950000000000003" customHeight="1" x14ac:dyDescent="0.25">
      <c r="B15" s="330">
        <v>13</v>
      </c>
      <c r="C15" s="329"/>
      <c r="D15" s="329"/>
      <c r="E15" s="329"/>
      <c r="F15" s="328"/>
      <c r="G15" s="328"/>
      <c r="H15" s="327"/>
      <c r="I15" s="327"/>
      <c r="J15" s="326">
        <f t="shared" si="0"/>
        <v>0</v>
      </c>
    </row>
    <row r="16" spans="1:11" ht="33.950000000000003" customHeight="1" x14ac:dyDescent="0.25">
      <c r="B16" s="330">
        <v>14</v>
      </c>
      <c r="C16" s="329"/>
      <c r="D16" s="329"/>
      <c r="E16" s="329"/>
      <c r="F16" s="328"/>
      <c r="G16" s="328"/>
      <c r="H16" s="327"/>
      <c r="I16" s="327"/>
      <c r="J16" s="326">
        <f t="shared" si="0"/>
        <v>0</v>
      </c>
    </row>
    <row r="17" spans="2:10" ht="33.950000000000003" customHeight="1" x14ac:dyDescent="0.25">
      <c r="B17" s="330">
        <v>15</v>
      </c>
      <c r="C17" s="329"/>
      <c r="D17" s="329"/>
      <c r="E17" s="329"/>
      <c r="F17" s="328"/>
      <c r="G17" s="328"/>
      <c r="H17" s="327"/>
      <c r="I17" s="327"/>
      <c r="J17" s="326">
        <f t="shared" si="0"/>
        <v>0</v>
      </c>
    </row>
    <row r="18" spans="2:10" ht="33.950000000000003" customHeight="1" x14ac:dyDescent="0.25">
      <c r="B18" s="484"/>
      <c r="D18" s="485"/>
      <c r="E18" s="485"/>
      <c r="G18" s="486"/>
      <c r="J18" s="487">
        <f>SUM(J3:J17)</f>
        <v>13050</v>
      </c>
    </row>
  </sheetData>
  <sheetProtection formatCells="0" formatColumns="0" formatRows="0" selectLockedCells="1" sort="0"/>
  <conditionalFormatting sqref="J3:J17">
    <cfRule type="expression" dxfId="29" priority="5">
      <formula>MOD(ROW(),2)=1</formula>
    </cfRule>
  </conditionalFormatting>
  <conditionalFormatting sqref="J3:J17">
    <cfRule type="expression" dxfId="28" priority="6">
      <formula>MOD(ROW(),2)=0</formula>
    </cfRule>
  </conditionalFormatting>
  <conditionalFormatting sqref="J15">
    <cfRule type="expression" dxfId="27" priority="3">
      <formula>MOD(ROW(),2)=1</formula>
    </cfRule>
  </conditionalFormatting>
  <conditionalFormatting sqref="J15">
    <cfRule type="expression" dxfId="26" priority="4">
      <formula>MOD(ROW(),2)=0</formula>
    </cfRule>
  </conditionalFormatting>
  <conditionalFormatting sqref="J16:J17">
    <cfRule type="expression" dxfId="25" priority="1">
      <formula>MOD(ROW(),2)=1</formula>
    </cfRule>
  </conditionalFormatting>
  <conditionalFormatting sqref="J16:J17">
    <cfRule type="expression" dxfId="24" priority="2">
      <formula>MOD(ROW(),2)=0</formula>
    </cfRule>
  </conditionalFormatting>
  <dataValidations count="7">
    <dataValidation allowBlank="1" showInputMessage="1" showErrorMessage="1" prompt="Enter Description in this column under this heading" sqref="C2:E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"/>
    <dataValidation allowBlank="1" showInputMessage="1" showErrorMessage="1" prompt="Enter Unit Price in this column under this heading" sqref="F2:G2"/>
    <dataValidation allowBlank="1" showInputMessage="1" showErrorMessage="1" prompt="Enter Discount in this column under this heading" sqref="H2:I2"/>
    <dataValidation allowBlank="1" showInputMessage="1" showErrorMessage="1" prompt="Enter Price in this column under this heading" sqref="J2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K18"/>
  <sheetViews>
    <sheetView showGridLines="0" topLeftCell="B1" zoomScaleNormal="100" workbookViewId="0">
      <selection activeCell="N11" sqref="N11"/>
    </sheetView>
  </sheetViews>
  <sheetFormatPr defaultColWidth="9" defaultRowHeight="33.950000000000003" customHeight="1" x14ac:dyDescent="0.25"/>
  <cols>
    <col min="1" max="1" width="3.28515625" style="325" customWidth="1"/>
    <col min="2" max="2" width="13.42578125" style="325" customWidth="1"/>
    <col min="3" max="3" width="45" style="325" customWidth="1"/>
    <col min="4" max="4" width="19.42578125" style="325" customWidth="1"/>
    <col min="5" max="5" width="21.7109375" style="325" customWidth="1"/>
    <col min="6" max="7" width="12.7109375" style="325" customWidth="1"/>
    <col min="8" max="8" width="13.140625" style="325" customWidth="1"/>
    <col min="9" max="9" width="13.28515625" style="325" customWidth="1"/>
    <col min="10" max="10" width="24.5703125" style="325" customWidth="1"/>
    <col min="11" max="16384" width="9" style="325"/>
  </cols>
  <sheetData>
    <row r="1" spans="1:11" ht="57.95" customHeight="1" thickBot="1" x14ac:dyDescent="0.3">
      <c r="A1" s="344"/>
      <c r="B1" s="343" t="s">
        <v>501</v>
      </c>
      <c r="C1" s="342"/>
      <c r="D1" s="342"/>
      <c r="E1" s="342"/>
      <c r="F1" s="341"/>
      <c r="G1" s="341"/>
      <c r="H1" s="339"/>
      <c r="I1" s="340"/>
      <c r="J1" s="339"/>
    </row>
    <row r="2" spans="1:11" ht="51" customHeight="1" thickTop="1" x14ac:dyDescent="0.25">
      <c r="B2" s="338" t="s">
        <v>442</v>
      </c>
      <c r="C2" s="337" t="s">
        <v>441</v>
      </c>
      <c r="D2" s="336" t="s">
        <v>480</v>
      </c>
      <c r="E2" s="335" t="s">
        <v>434</v>
      </c>
      <c r="F2" s="334" t="s">
        <v>440</v>
      </c>
      <c r="G2" s="334" t="s">
        <v>439</v>
      </c>
      <c r="H2" s="334" t="s">
        <v>438</v>
      </c>
      <c r="I2" s="334" t="s">
        <v>437</v>
      </c>
      <c r="J2" s="334" t="s">
        <v>436</v>
      </c>
      <c r="K2" s="331"/>
    </row>
    <row r="3" spans="1:11" ht="33.950000000000003" customHeight="1" x14ac:dyDescent="0.25">
      <c r="B3" s="330">
        <v>1</v>
      </c>
      <c r="C3" s="333" t="s">
        <v>500</v>
      </c>
      <c r="D3" s="348" t="s">
        <v>446</v>
      </c>
      <c r="E3" s="333"/>
      <c r="F3" s="332"/>
      <c r="G3" s="332"/>
      <c r="H3" s="327"/>
      <c r="I3" s="327"/>
      <c r="J3" s="347">
        <v>2000</v>
      </c>
      <c r="K3" s="331"/>
    </row>
    <row r="4" spans="1:11" ht="33.950000000000003" customHeight="1" x14ac:dyDescent="0.25">
      <c r="B4" s="330">
        <v>2</v>
      </c>
      <c r="C4" s="333" t="s">
        <v>499</v>
      </c>
      <c r="D4" s="348" t="s">
        <v>446</v>
      </c>
      <c r="E4" s="333"/>
      <c r="F4" s="332"/>
      <c r="G4" s="328"/>
      <c r="H4" s="327"/>
      <c r="I4" s="327"/>
      <c r="J4" s="347">
        <v>750</v>
      </c>
      <c r="K4" s="331"/>
    </row>
    <row r="5" spans="1:11" ht="33.950000000000003" customHeight="1" x14ac:dyDescent="0.25">
      <c r="B5" s="330">
        <v>3</v>
      </c>
      <c r="C5" s="333" t="s">
        <v>498</v>
      </c>
      <c r="D5" s="348" t="s">
        <v>446</v>
      </c>
      <c r="E5" s="329"/>
      <c r="F5" s="332"/>
      <c r="G5" s="328"/>
      <c r="H5" s="327"/>
      <c r="I5" s="327"/>
      <c r="J5" s="347">
        <v>500</v>
      </c>
      <c r="K5" s="331"/>
    </row>
    <row r="6" spans="1:11" ht="33.950000000000003" customHeight="1" x14ac:dyDescent="0.25">
      <c r="B6" s="330">
        <v>4</v>
      </c>
      <c r="C6" s="333" t="s">
        <v>497</v>
      </c>
      <c r="D6" s="348" t="s">
        <v>446</v>
      </c>
      <c r="E6" s="329"/>
      <c r="F6" s="328"/>
      <c r="G6" s="328"/>
      <c r="H6" s="327"/>
      <c r="I6" s="327"/>
      <c r="J6" s="347">
        <v>1000</v>
      </c>
      <c r="K6" s="331"/>
    </row>
    <row r="7" spans="1:11" ht="33.950000000000003" customHeight="1" x14ac:dyDescent="0.25">
      <c r="B7" s="330">
        <v>5</v>
      </c>
      <c r="C7" s="333" t="s">
        <v>496</v>
      </c>
      <c r="D7" s="348" t="s">
        <v>446</v>
      </c>
      <c r="E7" s="329"/>
      <c r="F7" s="328"/>
      <c r="G7" s="328"/>
      <c r="H7" s="327"/>
      <c r="I7" s="327"/>
      <c r="J7" s="347">
        <v>2500</v>
      </c>
      <c r="K7" s="331"/>
    </row>
    <row r="8" spans="1:11" ht="33.950000000000003" customHeight="1" x14ac:dyDescent="0.25">
      <c r="B8" s="330">
        <v>6</v>
      </c>
      <c r="C8" s="333" t="s">
        <v>495</v>
      </c>
      <c r="D8" s="348" t="s">
        <v>446</v>
      </c>
      <c r="E8" s="329"/>
      <c r="F8" s="328"/>
      <c r="G8" s="328"/>
      <c r="H8" s="327"/>
      <c r="I8" s="327"/>
      <c r="J8" s="347">
        <v>3500</v>
      </c>
      <c r="K8" s="331"/>
    </row>
    <row r="9" spans="1:11" ht="33.950000000000003" customHeight="1" x14ac:dyDescent="0.25">
      <c r="B9" s="330">
        <v>7</v>
      </c>
      <c r="C9" s="329"/>
      <c r="D9" s="329"/>
      <c r="E9" s="329"/>
      <c r="F9" s="328"/>
      <c r="G9" s="328"/>
      <c r="H9" s="327"/>
      <c r="I9" s="327"/>
      <c r="J9" s="326">
        <f t="shared" ref="J9:J17" si="0">IFERROR((F9*H9)-I9,"")</f>
        <v>0</v>
      </c>
      <c r="K9" s="331"/>
    </row>
    <row r="10" spans="1:11" ht="33.950000000000003" customHeight="1" x14ac:dyDescent="0.25">
      <c r="B10" s="330">
        <v>8</v>
      </c>
      <c r="C10" s="329"/>
      <c r="D10" s="329"/>
      <c r="E10" s="329"/>
      <c r="F10" s="328"/>
      <c r="G10" s="328"/>
      <c r="H10" s="327"/>
      <c r="I10" s="327"/>
      <c r="J10" s="326">
        <f t="shared" si="0"/>
        <v>0</v>
      </c>
      <c r="K10" s="331"/>
    </row>
    <row r="11" spans="1:11" ht="33.950000000000003" customHeight="1" x14ac:dyDescent="0.25">
      <c r="B11" s="330">
        <v>9</v>
      </c>
      <c r="C11" s="329"/>
      <c r="D11" s="329"/>
      <c r="E11" s="329"/>
      <c r="F11" s="328"/>
      <c r="G11" s="328"/>
      <c r="H11" s="327"/>
      <c r="I11" s="327"/>
      <c r="J11" s="326">
        <f t="shared" si="0"/>
        <v>0</v>
      </c>
      <c r="K11" s="331"/>
    </row>
    <row r="12" spans="1:11" ht="33.950000000000003" customHeight="1" x14ac:dyDescent="0.25">
      <c r="B12" s="330">
        <v>10</v>
      </c>
      <c r="C12" s="329"/>
      <c r="D12" s="329"/>
      <c r="E12" s="329"/>
      <c r="F12" s="328"/>
      <c r="G12" s="328"/>
      <c r="H12" s="327"/>
      <c r="I12" s="327"/>
      <c r="J12" s="326">
        <f t="shared" si="0"/>
        <v>0</v>
      </c>
      <c r="K12" s="331"/>
    </row>
    <row r="13" spans="1:11" ht="33.950000000000003" customHeight="1" x14ac:dyDescent="0.25">
      <c r="B13" s="330">
        <v>11</v>
      </c>
      <c r="C13" s="329"/>
      <c r="D13" s="329"/>
      <c r="E13" s="329"/>
      <c r="F13" s="328"/>
      <c r="G13" s="328"/>
      <c r="H13" s="327"/>
      <c r="I13" s="327"/>
      <c r="J13" s="326">
        <f t="shared" si="0"/>
        <v>0</v>
      </c>
      <c r="K13" s="331"/>
    </row>
    <row r="14" spans="1:11" ht="33.950000000000003" customHeight="1" x14ac:dyDescent="0.25">
      <c r="B14" s="330">
        <v>12</v>
      </c>
      <c r="C14" s="329"/>
      <c r="D14" s="329"/>
      <c r="E14" s="329"/>
      <c r="F14" s="328"/>
      <c r="G14" s="328"/>
      <c r="H14" s="327"/>
      <c r="I14" s="327"/>
      <c r="J14" s="326">
        <f t="shared" si="0"/>
        <v>0</v>
      </c>
      <c r="K14" s="331"/>
    </row>
    <row r="15" spans="1:11" ht="33.950000000000003" customHeight="1" x14ac:dyDescent="0.25">
      <c r="B15" s="330">
        <v>13</v>
      </c>
      <c r="C15" s="329"/>
      <c r="D15" s="329"/>
      <c r="E15" s="329"/>
      <c r="F15" s="328"/>
      <c r="G15" s="328"/>
      <c r="H15" s="327"/>
      <c r="I15" s="327"/>
      <c r="J15" s="326">
        <f t="shared" si="0"/>
        <v>0</v>
      </c>
    </row>
    <row r="16" spans="1:11" ht="33.950000000000003" customHeight="1" x14ac:dyDescent="0.25">
      <c r="B16" s="330">
        <v>14</v>
      </c>
      <c r="C16" s="329"/>
      <c r="D16" s="329"/>
      <c r="E16" s="329"/>
      <c r="F16" s="328"/>
      <c r="G16" s="328"/>
      <c r="H16" s="327"/>
      <c r="I16" s="327"/>
      <c r="J16" s="326">
        <f t="shared" si="0"/>
        <v>0</v>
      </c>
    </row>
    <row r="17" spans="2:10" ht="33.950000000000003" customHeight="1" x14ac:dyDescent="0.25">
      <c r="B17" s="330">
        <v>15</v>
      </c>
      <c r="C17" s="329"/>
      <c r="D17" s="329"/>
      <c r="E17" s="329"/>
      <c r="F17" s="328"/>
      <c r="G17" s="328"/>
      <c r="H17" s="327"/>
      <c r="I17" s="327"/>
      <c r="J17" s="326">
        <f t="shared" si="0"/>
        <v>0</v>
      </c>
    </row>
    <row r="18" spans="2:10" ht="33.950000000000003" customHeight="1" x14ac:dyDescent="0.25">
      <c r="B18" s="484"/>
      <c r="D18" s="485"/>
      <c r="E18" s="485"/>
      <c r="G18" s="486"/>
      <c r="J18" s="487">
        <f>SUM(J3:J17)</f>
        <v>10250</v>
      </c>
    </row>
  </sheetData>
  <sheetProtection formatCells="0" formatColumns="0" formatRows="0" selectLockedCells="1" sort="0"/>
  <conditionalFormatting sqref="J3:J17">
    <cfRule type="expression" dxfId="14" priority="5">
      <formula>MOD(ROW(),2)=1</formula>
    </cfRule>
  </conditionalFormatting>
  <conditionalFormatting sqref="J3:J17">
    <cfRule type="expression" dxfId="13" priority="6">
      <formula>MOD(ROW(),2)=0</formula>
    </cfRule>
  </conditionalFormatting>
  <conditionalFormatting sqref="J15">
    <cfRule type="expression" dxfId="12" priority="3">
      <formula>MOD(ROW(),2)=1</formula>
    </cfRule>
  </conditionalFormatting>
  <conditionalFormatting sqref="J15">
    <cfRule type="expression" dxfId="11" priority="4">
      <formula>MOD(ROW(),2)=0</formula>
    </cfRule>
  </conditionalFormatting>
  <conditionalFormatting sqref="J16:J17">
    <cfRule type="expression" dxfId="10" priority="1">
      <formula>MOD(ROW(),2)=1</formula>
    </cfRule>
  </conditionalFormatting>
  <conditionalFormatting sqref="J16:J17">
    <cfRule type="expression" dxfId="9" priority="2">
      <formula>MOD(ROW(),2)=0</formula>
    </cfRule>
  </conditionalFormatting>
  <dataValidations count="7">
    <dataValidation allowBlank="1" showInputMessage="1" showErrorMessage="1" prompt="Enter Description in this column under this heading" sqref="C2:E2"/>
    <dataValidation allowBlank="1" showInputMessage="1" showErrorMessage="1" prompt="Create a Simple Invoice in this worksheet" sqref="A1"/>
    <dataValidation allowBlank="1" showInputMessage="1" showErrorMessage="1" prompt="Modify Company Name in this cell. Enter company address, phone, fax,  email &amp; website in cells B2 to G3. Enter Billing details in cells B4 to G7" sqref="B1"/>
    <dataValidation allowBlank="1" showInputMessage="1" showErrorMessage="1" prompt="Enter Item number in this column under this heading" sqref="B2"/>
    <dataValidation allowBlank="1" showInputMessage="1" showErrorMessage="1" prompt="Enter Unit Price in this column under this heading" sqref="F2:G2"/>
    <dataValidation allowBlank="1" showInputMessage="1" showErrorMessage="1" prompt="Enter Discount in this column under this heading" sqref="H2:I2"/>
    <dataValidation allowBlank="1" showInputMessage="1" showErrorMessage="1" prompt="Enter Price in this column under this heading" sqref="J2"/>
  </dataValidations>
  <printOptions horizontalCentered="1"/>
  <pageMargins left="0.7" right="0.7" top="1" bottom="1" header="0.3" footer="0.3"/>
  <pageSetup scale="68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71"/>
  <sheetViews>
    <sheetView view="pageLayout" topLeftCell="A208" zoomScaleNormal="100" workbookViewId="0">
      <selection activeCell="D96" sqref="D96"/>
    </sheetView>
  </sheetViews>
  <sheetFormatPr defaultRowHeight="15" x14ac:dyDescent="0.25"/>
  <cols>
    <col min="2" max="2" width="29.28515625" customWidth="1"/>
    <col min="3" max="3" width="16" customWidth="1"/>
    <col min="4" max="4" width="18.7109375" customWidth="1"/>
    <col min="5" max="5" width="20.28515625" customWidth="1"/>
    <col min="6" max="6" width="21" customWidth="1"/>
    <col min="7" max="7" width="28.42578125" customWidth="1"/>
    <col min="8" max="8" width="8" customWidth="1"/>
    <col min="9" max="9" width="8.2851562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ht="23.25" x14ac:dyDescent="0.35">
      <c r="A2" s="106" t="s">
        <v>18</v>
      </c>
      <c r="B2" s="43" t="s">
        <v>112</v>
      </c>
      <c r="C2" s="515" t="s">
        <v>620</v>
      </c>
      <c r="D2" s="43"/>
      <c r="E2" s="43"/>
      <c r="F2" s="43"/>
    </row>
    <row r="3" spans="1:6" x14ac:dyDescent="0.25">
      <c r="A3" s="43"/>
      <c r="B3" s="43"/>
      <c r="C3" s="43"/>
      <c r="D3" s="43"/>
      <c r="E3" s="43"/>
      <c r="F3" s="43"/>
    </row>
    <row r="4" spans="1:6" ht="15.75" customHeight="1" x14ac:dyDescent="0.3">
      <c r="A4" s="36"/>
      <c r="B4" s="36"/>
      <c r="C4" s="116" t="s">
        <v>114</v>
      </c>
      <c r="D4" s="36"/>
      <c r="E4" s="36"/>
      <c r="F4" s="36"/>
    </row>
    <row r="5" spans="1:6" ht="15.75" customHeight="1" x14ac:dyDescent="0.3">
      <c r="A5" s="36"/>
      <c r="B5" s="36"/>
      <c r="C5" s="116"/>
      <c r="D5" s="36"/>
      <c r="E5" s="116"/>
      <c r="F5" s="36"/>
    </row>
    <row r="6" spans="1:6" x14ac:dyDescent="0.25">
      <c r="A6" s="510">
        <v>50200</v>
      </c>
      <c r="B6" s="147" t="s">
        <v>531</v>
      </c>
      <c r="C6" s="148">
        <f>Wages!D111</f>
        <v>118108.53</v>
      </c>
      <c r="D6" s="147"/>
      <c r="E6" s="519"/>
      <c r="F6" s="147"/>
    </row>
    <row r="7" spans="1:6" x14ac:dyDescent="0.25">
      <c r="A7" s="181">
        <v>50195</v>
      </c>
      <c r="B7" s="140" t="s">
        <v>562</v>
      </c>
      <c r="C7" s="154">
        <f>Wages!D116</f>
        <v>4827.6899999999996</v>
      </c>
      <c r="D7" s="140"/>
      <c r="E7" s="516"/>
      <c r="F7" s="140"/>
    </row>
    <row r="8" spans="1:6" x14ac:dyDescent="0.25">
      <c r="A8" s="181">
        <v>50400</v>
      </c>
      <c r="B8" s="140" t="s">
        <v>73</v>
      </c>
      <c r="C8" s="154">
        <f>'Utility&amp;Auto&amp;Misc. Worksheet'!B273</f>
        <v>19000</v>
      </c>
      <c r="D8" s="140"/>
      <c r="E8" s="516"/>
      <c r="F8" s="140"/>
    </row>
    <row r="9" spans="1:6" x14ac:dyDescent="0.25">
      <c r="A9" s="510">
        <v>50450</v>
      </c>
      <c r="B9" s="147" t="s">
        <v>74</v>
      </c>
      <c r="C9" s="148">
        <f>'Utilities&amp;Auto'!C68</f>
        <v>46350</v>
      </c>
      <c r="D9" s="147"/>
      <c r="E9" s="511"/>
      <c r="F9" s="147"/>
    </row>
    <row r="10" spans="1:6" x14ac:dyDescent="0.25">
      <c r="A10" s="181">
        <v>61100</v>
      </c>
      <c r="B10" s="140" t="s">
        <v>90</v>
      </c>
      <c r="C10" s="154">
        <f>'Utilities&amp;Auto'!C52</f>
        <v>6955.5281999999997</v>
      </c>
      <c r="D10" s="140"/>
      <c r="E10" s="410"/>
      <c r="F10" s="140"/>
    </row>
    <row r="11" spans="1:6" x14ac:dyDescent="0.25">
      <c r="A11" s="510">
        <v>61200</v>
      </c>
      <c r="B11" s="147" t="s">
        <v>91</v>
      </c>
      <c r="C11" s="148">
        <f>'Utilities&amp;Auto'!C69</f>
        <v>816.6046</v>
      </c>
      <c r="D11" s="147"/>
      <c r="E11" s="512"/>
      <c r="F11" s="147"/>
    </row>
    <row r="12" spans="1:6" x14ac:dyDescent="0.25">
      <c r="A12" s="181">
        <v>50500</v>
      </c>
      <c r="B12" s="140" t="s">
        <v>75</v>
      </c>
      <c r="C12" s="154">
        <f>'Utilities&amp;Auto'!C70</f>
        <v>3234.7356</v>
      </c>
      <c r="D12" s="140"/>
      <c r="E12" s="410"/>
      <c r="F12" s="140"/>
    </row>
    <row r="13" spans="1:6" x14ac:dyDescent="0.25">
      <c r="A13" s="510">
        <v>50700</v>
      </c>
      <c r="B13" s="147" t="s">
        <v>76</v>
      </c>
      <c r="C13" s="148">
        <f>'Utilities&amp;Auto'!C71</f>
        <v>22660</v>
      </c>
      <c r="D13" s="147"/>
      <c r="E13" s="512"/>
      <c r="F13" s="147"/>
    </row>
    <row r="14" spans="1:6" x14ac:dyDescent="0.25">
      <c r="A14" s="181">
        <v>50800</v>
      </c>
      <c r="B14" s="140" t="s">
        <v>77</v>
      </c>
      <c r="C14" s="154">
        <f>'Utilities&amp;Auto'!C22</f>
        <v>110698.4152</v>
      </c>
      <c r="D14" s="140"/>
      <c r="E14" s="410"/>
      <c r="F14" s="140"/>
    </row>
    <row r="15" spans="1:6" x14ac:dyDescent="0.25">
      <c r="A15" s="510">
        <v>60300</v>
      </c>
      <c r="B15" s="147" t="s">
        <v>80</v>
      </c>
      <c r="C15" s="148">
        <f>'Payroll Taxes'!B53</f>
        <v>7962.3900450000001</v>
      </c>
      <c r="D15" s="147"/>
      <c r="E15" s="512"/>
      <c r="F15" s="147"/>
    </row>
    <row r="16" spans="1:6" x14ac:dyDescent="0.25">
      <c r="A16" s="181">
        <v>60325</v>
      </c>
      <c r="B16" s="140" t="s">
        <v>81</v>
      </c>
      <c r="C16" s="154">
        <f>' PERS Retirement Benifits'!B62</f>
        <v>34520.036055999997</v>
      </c>
      <c r="D16" s="140"/>
      <c r="E16" s="410"/>
      <c r="F16" s="140"/>
    </row>
    <row r="17" spans="1:7" x14ac:dyDescent="0.25">
      <c r="A17" s="510">
        <v>60350</v>
      </c>
      <c r="B17" s="147" t="s">
        <v>614</v>
      </c>
      <c r="C17" s="148">
        <f>'Employee &amp; Ret. Health Benefits'!C62</f>
        <v>12989.82</v>
      </c>
      <c r="D17" s="147"/>
      <c r="E17" s="512"/>
      <c r="F17" s="147"/>
    </row>
    <row r="18" spans="1:7" x14ac:dyDescent="0.25">
      <c r="A18" s="181">
        <v>60400</v>
      </c>
      <c r="B18" s="410" t="s">
        <v>611</v>
      </c>
      <c r="C18" s="154">
        <f>'Employee &amp; Ret. Health Benefits'!C53</f>
        <v>26183.724000000002</v>
      </c>
      <c r="D18" s="140"/>
      <c r="E18" s="410"/>
      <c r="F18" s="140"/>
    </row>
    <row r="19" spans="1:7" x14ac:dyDescent="0.25">
      <c r="A19" s="510"/>
      <c r="B19" s="147"/>
      <c r="C19" s="148"/>
      <c r="D19" s="147"/>
      <c r="E19" s="512"/>
      <c r="F19" s="147"/>
    </row>
    <row r="20" spans="1:7" x14ac:dyDescent="0.25">
      <c r="A20" s="181">
        <v>60500</v>
      </c>
      <c r="B20" s="140" t="s">
        <v>84</v>
      </c>
      <c r="C20" s="154">
        <f>'Unemployment Taxes'!B55</f>
        <v>1302</v>
      </c>
      <c r="D20" s="140"/>
      <c r="E20" s="410"/>
      <c r="F20" s="140"/>
    </row>
    <row r="21" spans="1:7" x14ac:dyDescent="0.25">
      <c r="A21" s="510">
        <v>60600</v>
      </c>
      <c r="B21" s="147" t="s">
        <v>85</v>
      </c>
      <c r="C21" s="148">
        <f>'Workers Comp'!B54</f>
        <v>9239.5456147199984</v>
      </c>
      <c r="D21" s="147"/>
      <c r="E21" s="512"/>
      <c r="F21" s="147"/>
    </row>
    <row r="22" spans="1:7" x14ac:dyDescent="0.25">
      <c r="A22" s="181">
        <v>60700</v>
      </c>
      <c r="B22" s="140" t="s">
        <v>86</v>
      </c>
      <c r="C22" s="154">
        <f>'Utilities&amp;Auto'!C77</f>
        <v>10660.5</v>
      </c>
      <c r="D22" s="140"/>
      <c r="E22" s="410"/>
      <c r="F22" s="140"/>
    </row>
    <row r="23" spans="1:7" x14ac:dyDescent="0.25">
      <c r="A23" s="510">
        <v>60800</v>
      </c>
      <c r="B23" s="147" t="s">
        <v>87</v>
      </c>
      <c r="C23" s="148">
        <f>'Utilities&amp;Auto'!C73</f>
        <v>4571.4386999999997</v>
      </c>
      <c r="D23" s="147"/>
      <c r="E23" s="512"/>
      <c r="F23" s="147"/>
    </row>
    <row r="24" spans="1:7" x14ac:dyDescent="0.25">
      <c r="A24" s="181">
        <v>60900</v>
      </c>
      <c r="B24" s="140" t="s">
        <v>89</v>
      </c>
      <c r="C24" s="154">
        <f>'Utility&amp;Auto&amp;Misc. Worksheet'!I301</f>
        <v>2985.7743</v>
      </c>
      <c r="D24" s="140"/>
      <c r="E24" s="410"/>
      <c r="F24" s="140"/>
    </row>
    <row r="25" spans="1:7" x14ac:dyDescent="0.25">
      <c r="A25" s="510">
        <v>61250</v>
      </c>
      <c r="B25" s="147" t="s">
        <v>92</v>
      </c>
      <c r="C25" s="148">
        <f>'Utility&amp;Auto&amp;Misc. Worksheet'!K301</f>
        <v>2667.4940000000001</v>
      </c>
      <c r="D25" s="147"/>
      <c r="E25" s="512"/>
      <c r="F25" s="147"/>
    </row>
    <row r="26" spans="1:7" x14ac:dyDescent="0.25">
      <c r="A26" s="181">
        <v>61300</v>
      </c>
      <c r="B26" s="140" t="s">
        <v>93</v>
      </c>
      <c r="C26" s="154">
        <f>'Professional Services'!B14</f>
        <v>24192.025000000001</v>
      </c>
      <c r="D26" s="140"/>
      <c r="E26" s="410"/>
      <c r="F26" s="140"/>
    </row>
    <row r="27" spans="1:7" x14ac:dyDescent="0.25">
      <c r="A27" s="510">
        <v>61700</v>
      </c>
      <c r="B27" s="147" t="s">
        <v>95</v>
      </c>
      <c r="C27" s="148">
        <f>'Utility&amp;Auto&amp;Misc. Worksheet'!G301</f>
        <v>5366.4647999999997</v>
      </c>
      <c r="D27" s="147"/>
      <c r="E27" s="512"/>
      <c r="F27" s="147"/>
    </row>
    <row r="28" spans="1:7" x14ac:dyDescent="0.25">
      <c r="A28" s="181">
        <v>61750</v>
      </c>
      <c r="B28" s="140" t="s">
        <v>96</v>
      </c>
      <c r="C28" s="154">
        <f>'Training And Travel'!B125</f>
        <v>3302</v>
      </c>
      <c r="D28" s="140"/>
      <c r="E28" s="410"/>
      <c r="F28" s="140"/>
    </row>
    <row r="29" spans="1:7" x14ac:dyDescent="0.25">
      <c r="A29" s="510">
        <v>61800</v>
      </c>
      <c r="B29" s="147" t="s">
        <v>98</v>
      </c>
      <c r="C29" s="148">
        <f>'Utilities&amp;Auto'!C66</f>
        <v>1.03</v>
      </c>
      <c r="D29" s="147"/>
      <c r="E29" s="512"/>
      <c r="F29" s="147"/>
    </row>
    <row r="30" spans="1:7" x14ac:dyDescent="0.25">
      <c r="A30" s="181"/>
      <c r="B30" s="140" t="s">
        <v>375</v>
      </c>
      <c r="C30" s="154">
        <f>'Utilities&amp;Auto'!C76</f>
        <v>130001</v>
      </c>
      <c r="D30" s="140"/>
      <c r="E30" s="410"/>
      <c r="F30" s="140"/>
    </row>
    <row r="31" spans="1:7" ht="15.75" x14ac:dyDescent="0.25">
      <c r="A31" s="510"/>
      <c r="B31" s="514" t="s">
        <v>298</v>
      </c>
      <c r="C31" s="148"/>
      <c r="D31" s="147"/>
      <c r="E31" s="512"/>
      <c r="F31" s="147"/>
      <c r="G31" t="s">
        <v>18</v>
      </c>
    </row>
    <row r="32" spans="1:7" x14ac:dyDescent="0.25">
      <c r="A32" s="140"/>
      <c r="B32" s="140" t="s">
        <v>99</v>
      </c>
      <c r="C32" s="258">
        <f>SUM(C6:C31)</f>
        <v>608596.74611572002</v>
      </c>
      <c r="D32" s="140"/>
      <c r="E32" s="151"/>
      <c r="F32" s="140"/>
    </row>
    <row r="33" spans="1:6" x14ac:dyDescent="0.25">
      <c r="A33" s="43"/>
      <c r="B33" s="43"/>
      <c r="C33" s="107"/>
      <c r="D33" s="43"/>
      <c r="E33" s="107"/>
      <c r="F33" s="43"/>
    </row>
    <row r="34" spans="1:6" x14ac:dyDescent="0.25">
      <c r="A34" s="43"/>
      <c r="B34" s="43"/>
      <c r="C34" s="107"/>
      <c r="D34" s="43"/>
      <c r="E34" s="107"/>
      <c r="F34" s="43"/>
    </row>
    <row r="35" spans="1:6" x14ac:dyDescent="0.25">
      <c r="A35" s="43"/>
      <c r="B35" s="43"/>
      <c r="C35" s="107"/>
      <c r="D35" s="43"/>
      <c r="E35" s="107"/>
      <c r="F35" s="43"/>
    </row>
    <row r="36" spans="1:6" x14ac:dyDescent="0.25">
      <c r="A36" s="43"/>
      <c r="B36" s="43"/>
      <c r="C36" s="107"/>
      <c r="D36" s="43"/>
      <c r="E36" s="107"/>
      <c r="F36" s="43">
        <v>1</v>
      </c>
    </row>
    <row r="37" spans="1:6" x14ac:dyDescent="0.25">
      <c r="A37" s="43"/>
      <c r="B37" s="43"/>
      <c r="C37" s="107"/>
      <c r="D37" s="43"/>
      <c r="E37" s="107"/>
      <c r="F37" s="43"/>
    </row>
    <row r="38" spans="1:6" x14ac:dyDescent="0.25">
      <c r="A38" s="43"/>
      <c r="B38" s="43"/>
      <c r="C38" s="107"/>
      <c r="D38" s="43"/>
      <c r="E38" s="107"/>
      <c r="F38" s="43"/>
    </row>
    <row r="39" spans="1:6" x14ac:dyDescent="0.25">
      <c r="A39" s="43"/>
      <c r="B39" s="43"/>
      <c r="C39" s="107"/>
      <c r="D39" s="43"/>
      <c r="E39" s="107"/>
      <c r="F39" s="43"/>
    </row>
    <row r="40" spans="1:6" x14ac:dyDescent="0.25">
      <c r="A40" s="43"/>
      <c r="B40" s="43"/>
      <c r="C40" s="107"/>
      <c r="D40" s="43"/>
      <c r="E40" s="107"/>
      <c r="F40" s="43"/>
    </row>
    <row r="41" spans="1:6" x14ac:dyDescent="0.25">
      <c r="A41" s="43"/>
      <c r="B41" s="43"/>
      <c r="C41" s="107"/>
      <c r="D41" s="43"/>
      <c r="E41" s="107"/>
      <c r="F41" s="43"/>
    </row>
    <row r="42" spans="1:6" x14ac:dyDescent="0.25">
      <c r="A42" s="43"/>
      <c r="B42" s="43"/>
      <c r="C42" s="107"/>
      <c r="D42" s="43"/>
      <c r="E42" s="107"/>
      <c r="F42" s="43"/>
    </row>
    <row r="43" spans="1:6" x14ac:dyDescent="0.25">
      <c r="A43" s="43"/>
      <c r="B43" s="43"/>
      <c r="C43" s="107"/>
      <c r="D43" s="43"/>
      <c r="E43" s="107"/>
      <c r="F43" s="43"/>
    </row>
    <row r="44" spans="1:6" x14ac:dyDescent="0.25">
      <c r="A44" s="43"/>
      <c r="B44" s="43"/>
      <c r="C44" s="107"/>
      <c r="D44" s="43"/>
      <c r="E44" s="107"/>
      <c r="F44" s="43"/>
    </row>
    <row r="45" spans="1:6" x14ac:dyDescent="0.25">
      <c r="A45" s="43"/>
      <c r="B45" s="43"/>
      <c r="C45" s="107"/>
      <c r="D45" s="43"/>
      <c r="E45" s="107"/>
      <c r="F45" s="43"/>
    </row>
    <row r="46" spans="1:6" x14ac:dyDescent="0.25">
      <c r="A46" s="43"/>
      <c r="B46" s="43"/>
      <c r="C46" s="107"/>
      <c r="D46" s="43"/>
      <c r="E46" s="107"/>
      <c r="F46" s="43"/>
    </row>
    <row r="47" spans="1:6" x14ac:dyDescent="0.25">
      <c r="A47" s="43"/>
      <c r="B47" s="43"/>
      <c r="C47" s="107"/>
      <c r="D47" s="43"/>
      <c r="E47" s="107"/>
      <c r="F47" s="43"/>
    </row>
    <row r="48" spans="1:6" x14ac:dyDescent="0.25">
      <c r="A48" s="43"/>
      <c r="B48" s="43"/>
      <c r="C48" s="107"/>
      <c r="D48" s="43"/>
      <c r="E48" s="107"/>
      <c r="F48" s="43"/>
    </row>
    <row r="49" spans="1:6" x14ac:dyDescent="0.25">
      <c r="A49" s="43"/>
      <c r="B49" s="43"/>
      <c r="C49" s="107"/>
      <c r="D49" s="43"/>
      <c r="E49" s="107"/>
      <c r="F49" s="43"/>
    </row>
    <row r="50" spans="1:6" x14ac:dyDescent="0.25">
      <c r="A50" s="43"/>
      <c r="B50" s="43"/>
      <c r="C50" s="107"/>
      <c r="D50" s="43"/>
      <c r="E50" s="107"/>
      <c r="F50" s="43"/>
    </row>
    <row r="51" spans="1:6" x14ac:dyDescent="0.25">
      <c r="A51" s="43"/>
      <c r="B51" s="43"/>
      <c r="C51" s="107"/>
      <c r="D51" s="43"/>
      <c r="E51" s="107"/>
      <c r="F51" s="43"/>
    </row>
    <row r="52" spans="1:6" x14ac:dyDescent="0.25">
      <c r="A52" s="43"/>
      <c r="B52" s="43"/>
      <c r="C52" s="107"/>
      <c r="D52" s="43"/>
      <c r="E52" s="107"/>
      <c r="F52" s="43"/>
    </row>
    <row r="53" spans="1:6" x14ac:dyDescent="0.25">
      <c r="A53" s="43"/>
      <c r="B53" s="43"/>
      <c r="C53" s="107"/>
      <c r="D53" s="43"/>
      <c r="E53" s="107"/>
      <c r="F53" s="43"/>
    </row>
    <row r="54" spans="1:6" x14ac:dyDescent="0.25">
      <c r="A54" s="43"/>
      <c r="B54" s="43"/>
      <c r="C54" s="107"/>
      <c r="D54" s="43"/>
      <c r="E54" s="107"/>
      <c r="F54" s="43"/>
    </row>
    <row r="55" spans="1:6" x14ac:dyDescent="0.25">
      <c r="A55" s="43"/>
      <c r="B55" s="43"/>
      <c r="C55" s="107"/>
      <c r="D55" s="43"/>
      <c r="E55" s="107"/>
      <c r="F55" s="43"/>
    </row>
    <row r="56" spans="1:6" x14ac:dyDescent="0.25">
      <c r="A56" s="43"/>
      <c r="B56" s="43"/>
      <c r="C56" s="107"/>
      <c r="D56" s="43"/>
      <c r="E56" s="107"/>
      <c r="F56" s="43"/>
    </row>
    <row r="57" spans="1:6" x14ac:dyDescent="0.25">
      <c r="A57" s="43"/>
      <c r="B57" s="43"/>
      <c r="C57" s="107"/>
      <c r="D57" s="43"/>
      <c r="E57" s="107"/>
      <c r="F57" s="43"/>
    </row>
    <row r="58" spans="1:6" x14ac:dyDescent="0.25">
      <c r="A58" s="43"/>
      <c r="B58" s="43"/>
      <c r="C58" s="107"/>
      <c r="D58" s="43"/>
      <c r="E58" s="107"/>
      <c r="F58" s="43"/>
    </row>
    <row r="59" spans="1:6" x14ac:dyDescent="0.25">
      <c r="A59" s="43"/>
      <c r="B59" s="43"/>
      <c r="C59" s="107"/>
      <c r="D59" s="43"/>
      <c r="E59" s="107"/>
      <c r="F59" s="43"/>
    </row>
    <row r="60" spans="1:6" x14ac:dyDescent="0.25">
      <c r="A60" s="43"/>
      <c r="B60" s="43"/>
      <c r="C60" s="107"/>
      <c r="D60" s="43"/>
      <c r="E60" s="107"/>
      <c r="F60" s="43"/>
    </row>
    <row r="61" spans="1:6" x14ac:dyDescent="0.25">
      <c r="A61" s="43"/>
      <c r="B61" s="43"/>
      <c r="C61" s="107"/>
      <c r="D61" s="43"/>
      <c r="E61" s="107"/>
      <c r="F61" s="43"/>
    </row>
    <row r="62" spans="1:6" x14ac:dyDescent="0.25">
      <c r="A62" s="43"/>
      <c r="B62" s="43"/>
      <c r="C62" s="107"/>
      <c r="D62" s="43"/>
      <c r="E62" s="107"/>
      <c r="F62" s="43"/>
    </row>
    <row r="63" spans="1:6" x14ac:dyDescent="0.25">
      <c r="A63" s="43"/>
      <c r="B63" s="43"/>
      <c r="C63" s="107"/>
      <c r="D63" s="43"/>
      <c r="E63" s="107"/>
      <c r="F63" s="43"/>
    </row>
    <row r="64" spans="1:6" x14ac:dyDescent="0.25">
      <c r="A64" s="43"/>
      <c r="B64" s="43"/>
      <c r="C64" s="107"/>
      <c r="D64" s="43"/>
      <c r="E64" s="107"/>
      <c r="F64" s="43"/>
    </row>
    <row r="65" spans="1:8" x14ac:dyDescent="0.25">
      <c r="A65" s="43"/>
      <c r="B65" s="43"/>
      <c r="C65" s="107"/>
      <c r="D65" s="43"/>
      <c r="E65" s="107"/>
      <c r="F65" s="43"/>
    </row>
    <row r="66" spans="1:8" x14ac:dyDescent="0.25">
      <c r="A66" s="43"/>
      <c r="B66" s="43"/>
      <c r="C66" s="107"/>
      <c r="D66" s="43"/>
      <c r="E66" s="107"/>
      <c r="F66" s="43"/>
    </row>
    <row r="67" spans="1:8" x14ac:dyDescent="0.25">
      <c r="A67" s="43"/>
      <c r="B67" s="43"/>
      <c r="C67" s="107"/>
      <c r="D67" s="43"/>
      <c r="E67" s="107"/>
      <c r="F67" s="43"/>
    </row>
    <row r="68" spans="1:8" x14ac:dyDescent="0.25">
      <c r="A68" s="43"/>
      <c r="B68" s="43"/>
      <c r="C68" s="107"/>
      <c r="D68" s="43"/>
      <c r="E68" s="107"/>
      <c r="F68" s="43"/>
    </row>
    <row r="69" spans="1:8" x14ac:dyDescent="0.25">
      <c r="A69" s="43"/>
      <c r="B69" s="43"/>
      <c r="C69" s="107"/>
      <c r="D69" s="43"/>
      <c r="E69" s="107"/>
      <c r="F69" s="43">
        <v>2</v>
      </c>
    </row>
    <row r="70" spans="1:8" x14ac:dyDescent="0.25">
      <c r="A70" s="43"/>
      <c r="B70" s="43"/>
      <c r="C70" s="107"/>
      <c r="D70" s="43"/>
      <c r="E70" s="107"/>
      <c r="F70" s="43">
        <f ca="1">B70:F81</f>
        <v>0</v>
      </c>
    </row>
    <row r="71" spans="1:8" x14ac:dyDescent="0.25">
      <c r="A71" s="43"/>
      <c r="B71" s="43"/>
      <c r="C71" s="107"/>
      <c r="D71" s="43"/>
      <c r="E71" s="107"/>
      <c r="F71" s="43"/>
    </row>
    <row r="72" spans="1:8" ht="26.25" x14ac:dyDescent="0.4">
      <c r="A72" s="43"/>
      <c r="B72" s="43" t="s">
        <v>109</v>
      </c>
      <c r="C72" s="106" t="s">
        <v>618</v>
      </c>
      <c r="D72" s="43"/>
      <c r="E72" s="43"/>
      <c r="F72" s="43"/>
    </row>
    <row r="73" spans="1:8" x14ac:dyDescent="0.25">
      <c r="A73" s="36"/>
      <c r="B73" s="36"/>
      <c r="C73" s="36"/>
      <c r="D73" s="36"/>
      <c r="E73" s="36"/>
      <c r="F73" s="36"/>
    </row>
    <row r="74" spans="1:8" ht="23.25" customHeight="1" x14ac:dyDescent="0.35">
      <c r="A74" s="106" t="s">
        <v>107</v>
      </c>
      <c r="B74" s="43" t="s">
        <v>113</v>
      </c>
      <c r="C74" s="79" t="s">
        <v>114</v>
      </c>
      <c r="D74" s="43"/>
      <c r="E74" s="43"/>
      <c r="F74" s="43"/>
    </row>
    <row r="75" spans="1:8" x14ac:dyDescent="0.25">
      <c r="A75" s="181">
        <v>50200</v>
      </c>
      <c r="B75" s="140" t="s">
        <v>531</v>
      </c>
      <c r="C75" s="154">
        <f>Wages!F111</f>
        <v>118108.53</v>
      </c>
      <c r="D75" s="140"/>
      <c r="E75" s="140"/>
      <c r="F75" s="140"/>
    </row>
    <row r="76" spans="1:8" x14ac:dyDescent="0.25">
      <c r="A76" s="510">
        <v>50195</v>
      </c>
      <c r="B76" s="147" t="s">
        <v>598</v>
      </c>
      <c r="C76" s="148">
        <f>Wages!F116</f>
        <v>2709.8099999999995</v>
      </c>
      <c r="D76" s="147"/>
      <c r="E76" s="147"/>
      <c r="F76" s="147"/>
    </row>
    <row r="77" spans="1:8" x14ac:dyDescent="0.25">
      <c r="A77" s="181">
        <v>50400</v>
      </c>
      <c r="B77" s="140" t="s">
        <v>73</v>
      </c>
      <c r="C77" s="154">
        <f>'Utility&amp;Auto&amp;Misc. Worksheet'!B334</f>
        <v>19053.393200000002</v>
      </c>
      <c r="D77" s="140"/>
      <c r="E77" s="140"/>
      <c r="F77" s="140"/>
      <c r="G77" s="181"/>
      <c r="H77" s="140"/>
    </row>
    <row r="78" spans="1:8" x14ac:dyDescent="0.25">
      <c r="A78" s="510">
        <v>50450</v>
      </c>
      <c r="B78" s="147" t="s">
        <v>74</v>
      </c>
      <c r="C78" s="148">
        <f>'Utility&amp;Auto&amp;Misc. Worksheet'!C334</f>
        <v>4160.17</v>
      </c>
      <c r="D78" s="147"/>
      <c r="E78" s="147"/>
      <c r="F78" s="147"/>
    </row>
    <row r="79" spans="1:8" x14ac:dyDescent="0.25">
      <c r="A79" s="181">
        <v>61100</v>
      </c>
      <c r="B79" s="140" t="s">
        <v>90</v>
      </c>
      <c r="C79" s="148">
        <f>'Utility&amp;Auto&amp;Misc. Worksheet'!M200</f>
        <v>8507.5630999999994</v>
      </c>
      <c r="D79" s="147"/>
      <c r="E79" s="147"/>
      <c r="F79" s="147"/>
    </row>
    <row r="80" spans="1:8" x14ac:dyDescent="0.25">
      <c r="A80" s="181">
        <v>61200</v>
      </c>
      <c r="B80" s="140" t="s">
        <v>91</v>
      </c>
      <c r="C80" s="154">
        <f>'Utility&amp;Auto&amp;Misc. Worksheet'!D334</f>
        <v>3052.4874</v>
      </c>
      <c r="D80" s="140"/>
      <c r="E80" s="140"/>
      <c r="F80" s="140"/>
    </row>
    <row r="81" spans="1:6" x14ac:dyDescent="0.25">
      <c r="A81" s="510">
        <v>50500</v>
      </c>
      <c r="B81" s="147" t="s">
        <v>75</v>
      </c>
      <c r="C81" s="148">
        <f>'Utility&amp;Auto&amp;Misc. Worksheet'!E334</f>
        <v>14581.8439</v>
      </c>
      <c r="D81" s="147"/>
      <c r="E81" s="147"/>
      <c r="F81" s="147"/>
    </row>
    <row r="82" spans="1:6" x14ac:dyDescent="0.25">
      <c r="A82" s="181">
        <v>50700</v>
      </c>
      <c r="B82" s="140" t="s">
        <v>76</v>
      </c>
      <c r="C82" s="154">
        <f>'Utility&amp;Auto&amp;Misc. Worksheet'!F334</f>
        <v>10300</v>
      </c>
      <c r="D82" s="140"/>
      <c r="E82" s="140"/>
      <c r="F82" s="140"/>
    </row>
    <row r="83" spans="1:6" x14ac:dyDescent="0.25">
      <c r="A83" s="510">
        <v>50800</v>
      </c>
      <c r="B83" s="147" t="s">
        <v>77</v>
      </c>
      <c r="C83" s="148">
        <f>'Utilities&amp;Auto'!D22</f>
        <v>24814.3377</v>
      </c>
      <c r="D83" s="147"/>
      <c r="E83" s="147"/>
      <c r="F83" s="147"/>
    </row>
    <row r="84" spans="1:6" x14ac:dyDescent="0.25">
      <c r="A84" s="181">
        <v>60325</v>
      </c>
      <c r="B84" s="140" t="s">
        <v>81</v>
      </c>
      <c r="C84" s="154">
        <f>' PERS Retirement Benifits'!D62</f>
        <v>33738.703271999999</v>
      </c>
      <c r="D84" s="140"/>
      <c r="E84" s="140"/>
      <c r="F84" s="140"/>
    </row>
    <row r="85" spans="1:6" x14ac:dyDescent="0.25">
      <c r="A85" s="510">
        <v>60350</v>
      </c>
      <c r="B85" s="147" t="s">
        <v>614</v>
      </c>
      <c r="C85" s="148">
        <f>'Employee &amp; Ret. Health Benefits'!E62</f>
        <v>12989.82</v>
      </c>
      <c r="D85" s="147" t="s">
        <v>106</v>
      </c>
      <c r="E85" s="147"/>
      <c r="F85" s="147"/>
    </row>
    <row r="86" spans="1:6" x14ac:dyDescent="0.25">
      <c r="A86" s="181">
        <v>60400</v>
      </c>
      <c r="B86" s="410" t="s">
        <v>611</v>
      </c>
      <c r="C86" s="154">
        <f>'Employee &amp; Ret. Health Benefits'!E53</f>
        <v>26183.724000000002</v>
      </c>
      <c r="D86" s="140"/>
      <c r="E86" s="140"/>
      <c r="F86" s="140"/>
    </row>
    <row r="87" spans="1:6" x14ac:dyDescent="0.25">
      <c r="A87" s="510">
        <v>61250</v>
      </c>
      <c r="B87" s="147" t="s">
        <v>92</v>
      </c>
      <c r="C87" s="148">
        <f>'Utility&amp;Auto&amp;Misc. Worksheet'!K334</f>
        <v>2654.5159999999996</v>
      </c>
      <c r="D87" s="147"/>
      <c r="E87" s="147"/>
      <c r="F87" s="147"/>
    </row>
    <row r="88" spans="1:6" x14ac:dyDescent="0.25">
      <c r="A88" s="181">
        <v>61300</v>
      </c>
      <c r="B88" s="140" t="s">
        <v>93</v>
      </c>
      <c r="C88" s="154">
        <f>'Professional Services'!C14</f>
        <v>57795.396999999997</v>
      </c>
      <c r="D88" s="140"/>
      <c r="E88" s="410"/>
      <c r="F88" s="140"/>
    </row>
    <row r="89" spans="1:6" x14ac:dyDescent="0.25">
      <c r="A89" s="510">
        <v>60300</v>
      </c>
      <c r="B89" s="147" t="s">
        <v>80</v>
      </c>
      <c r="C89" s="148">
        <f>'Payroll Taxes'!C53</f>
        <v>7962.3900450000001</v>
      </c>
      <c r="D89" s="147"/>
      <c r="E89" s="147"/>
      <c r="F89" s="147"/>
    </row>
    <row r="90" spans="1:6" x14ac:dyDescent="0.25">
      <c r="A90" s="181">
        <v>60500</v>
      </c>
      <c r="B90" s="140" t="s">
        <v>84</v>
      </c>
      <c r="C90" s="154">
        <f>'Unemployment Taxes'!C55</f>
        <v>1302</v>
      </c>
      <c r="D90" s="140"/>
      <c r="E90" s="140"/>
      <c r="F90" s="140"/>
    </row>
    <row r="91" spans="1:6" x14ac:dyDescent="0.25">
      <c r="A91" s="510">
        <v>60600</v>
      </c>
      <c r="B91" s="147" t="s">
        <v>85</v>
      </c>
      <c r="C91" s="148">
        <f>'Workers Comp'!C54</f>
        <v>9294.3296147199999</v>
      </c>
      <c r="D91" s="147"/>
      <c r="E91" s="147"/>
      <c r="F91" s="147"/>
    </row>
    <row r="92" spans="1:6" x14ac:dyDescent="0.25">
      <c r="A92" s="181">
        <v>60700</v>
      </c>
      <c r="B92" s="140" t="s">
        <v>86</v>
      </c>
      <c r="C92" s="154">
        <f>'Utility&amp;Auto&amp;Misc. Worksheet'!L334</f>
        <v>10660.5</v>
      </c>
      <c r="D92" s="140"/>
      <c r="E92" s="140"/>
      <c r="F92" s="140"/>
    </row>
    <row r="93" spans="1:6" x14ac:dyDescent="0.25">
      <c r="A93" s="510">
        <v>60800</v>
      </c>
      <c r="B93" s="147" t="s">
        <v>87</v>
      </c>
      <c r="C93" s="148">
        <f>'Utility&amp;Auto&amp;Misc. Worksheet'!H334</f>
        <v>4671.7298000000001</v>
      </c>
      <c r="D93" s="147"/>
      <c r="E93" s="147"/>
      <c r="F93" s="147"/>
    </row>
    <row r="94" spans="1:6" x14ac:dyDescent="0.25">
      <c r="A94" s="181">
        <v>60900</v>
      </c>
      <c r="B94" s="140" t="s">
        <v>89</v>
      </c>
      <c r="C94" s="148">
        <f>'Utility&amp;Auto&amp;Misc. Worksheet'!I334</f>
        <v>3072.3766999999998</v>
      </c>
      <c r="D94" s="147"/>
      <c r="E94" s="147"/>
      <c r="F94" s="147"/>
    </row>
    <row r="95" spans="1:6" x14ac:dyDescent="0.25">
      <c r="A95" s="181">
        <v>61700</v>
      </c>
      <c r="B95" s="140" t="s">
        <v>95</v>
      </c>
      <c r="C95" s="154">
        <f>'Utility&amp;Auto&amp;Misc. Worksheet'!G334</f>
        <v>13476.004999999999</v>
      </c>
      <c r="D95" s="140"/>
      <c r="E95" s="410"/>
      <c r="F95" s="140"/>
    </row>
    <row r="96" spans="1:6" x14ac:dyDescent="0.25">
      <c r="A96" s="510">
        <v>61750</v>
      </c>
      <c r="B96" s="147" t="s">
        <v>96</v>
      </c>
      <c r="C96" s="154">
        <f>'Training And Travel'!D125</f>
        <v>1454</v>
      </c>
      <c r="D96" s="140"/>
      <c r="E96" s="410"/>
      <c r="F96" s="140"/>
    </row>
    <row r="97" spans="1:6" x14ac:dyDescent="0.25">
      <c r="A97" s="510"/>
      <c r="B97" s="147" t="s">
        <v>375</v>
      </c>
      <c r="C97" s="148">
        <f>'Utilities&amp;Auto'!D76</f>
        <v>107000</v>
      </c>
      <c r="D97" s="147"/>
      <c r="E97" s="512"/>
      <c r="F97" s="147"/>
    </row>
    <row r="98" spans="1:6" x14ac:dyDescent="0.25">
      <c r="A98" s="181"/>
      <c r="B98" s="518" t="s">
        <v>521</v>
      </c>
      <c r="C98" s="154"/>
      <c r="D98" s="140"/>
      <c r="E98" s="410"/>
      <c r="F98" s="140"/>
    </row>
    <row r="99" spans="1:6" x14ac:dyDescent="0.25">
      <c r="A99" s="147"/>
      <c r="B99" s="147"/>
      <c r="C99" s="148"/>
      <c r="D99" s="147"/>
      <c r="E99" s="147"/>
      <c r="F99" s="147"/>
    </row>
    <row r="100" spans="1:6" x14ac:dyDescent="0.25">
      <c r="A100" s="140"/>
      <c r="B100" s="140" t="s">
        <v>528</v>
      </c>
      <c r="C100" s="509">
        <f>SUM(C75:C99)</f>
        <v>497543.62673172005</v>
      </c>
      <c r="D100" s="140"/>
      <c r="E100" s="140"/>
      <c r="F100" s="140"/>
    </row>
    <row r="101" spans="1:6" x14ac:dyDescent="0.25">
      <c r="A101" s="43"/>
      <c r="B101" s="43"/>
      <c r="C101" s="63"/>
      <c r="D101" s="43"/>
      <c r="E101" s="43"/>
      <c r="F101" s="43"/>
    </row>
    <row r="102" spans="1:6" x14ac:dyDescent="0.25">
      <c r="A102" s="43"/>
      <c r="B102" s="43"/>
      <c r="C102" s="43"/>
      <c r="D102" s="43"/>
      <c r="E102" s="43"/>
      <c r="F102" s="43"/>
    </row>
    <row r="103" spans="1:6" x14ac:dyDescent="0.25">
      <c r="A103" s="43"/>
      <c r="B103" s="43"/>
      <c r="C103" s="43"/>
      <c r="D103" s="43"/>
      <c r="E103" s="43"/>
      <c r="F103" s="43"/>
    </row>
    <row r="104" spans="1:6" x14ac:dyDescent="0.25">
      <c r="A104" s="43"/>
      <c r="B104" s="43"/>
      <c r="C104" s="43"/>
      <c r="D104" s="43"/>
      <c r="E104" s="43"/>
      <c r="F104" s="43"/>
    </row>
    <row r="105" spans="1:6" x14ac:dyDescent="0.25">
      <c r="A105" s="43"/>
      <c r="B105" s="43"/>
      <c r="C105" s="43"/>
      <c r="D105" s="43"/>
      <c r="E105" s="43"/>
      <c r="F105" s="43"/>
    </row>
    <row r="106" spans="1:6" x14ac:dyDescent="0.25">
      <c r="A106" s="36"/>
      <c r="B106" s="36"/>
      <c r="C106" s="36"/>
      <c r="D106" s="36"/>
      <c r="E106" s="36"/>
      <c r="F106" s="36"/>
    </row>
    <row r="107" spans="1:6" x14ac:dyDescent="0.25">
      <c r="A107" s="43"/>
      <c r="B107" s="43"/>
      <c r="C107" s="43"/>
      <c r="D107" s="43"/>
      <c r="E107" s="43"/>
      <c r="F107" s="43"/>
    </row>
    <row r="108" spans="1:6" x14ac:dyDescent="0.25">
      <c r="A108" s="43"/>
      <c r="B108" s="43"/>
      <c r="C108" s="43"/>
      <c r="D108" s="43"/>
      <c r="E108" s="43"/>
      <c r="F108" s="43">
        <v>3</v>
      </c>
    </row>
    <row r="109" spans="1:6" x14ac:dyDescent="0.25">
      <c r="A109" s="43"/>
      <c r="B109" s="43"/>
      <c r="C109" s="43"/>
      <c r="D109" s="43"/>
      <c r="E109" s="43"/>
      <c r="F109" s="43"/>
    </row>
    <row r="110" spans="1:6" x14ac:dyDescent="0.25">
      <c r="A110" s="43"/>
      <c r="B110" s="43"/>
      <c r="C110" s="43"/>
      <c r="D110" s="43"/>
      <c r="E110" s="43"/>
      <c r="F110" s="43"/>
    </row>
    <row r="111" spans="1:6" x14ac:dyDescent="0.25">
      <c r="A111" s="43"/>
      <c r="B111" s="43"/>
      <c r="C111" s="43"/>
      <c r="D111" s="43"/>
      <c r="E111" s="43"/>
      <c r="F111" s="43"/>
    </row>
    <row r="112" spans="1:6" x14ac:dyDescent="0.25">
      <c r="A112" s="43"/>
      <c r="B112" s="43"/>
      <c r="C112" s="43"/>
      <c r="D112" s="43"/>
      <c r="E112" s="43"/>
      <c r="F112" s="43"/>
    </row>
    <row r="113" spans="1:6" x14ac:dyDescent="0.25">
      <c r="A113" s="43"/>
      <c r="B113" s="43"/>
      <c r="C113" s="43"/>
      <c r="D113" s="43"/>
      <c r="E113" s="43"/>
      <c r="F113" s="43"/>
    </row>
    <row r="114" spans="1:6" x14ac:dyDescent="0.25">
      <c r="A114" s="43"/>
      <c r="B114" s="43"/>
      <c r="C114" s="43"/>
      <c r="D114" s="43"/>
      <c r="E114" s="43"/>
      <c r="F114" s="43"/>
    </row>
    <row r="115" spans="1:6" x14ac:dyDescent="0.25">
      <c r="A115" s="43"/>
      <c r="B115" s="43"/>
      <c r="C115" s="43"/>
      <c r="D115" s="43"/>
      <c r="E115" s="43"/>
      <c r="F115" s="43"/>
    </row>
    <row r="116" spans="1:6" x14ac:dyDescent="0.25">
      <c r="A116" s="43"/>
      <c r="B116" s="43"/>
      <c r="C116" s="43"/>
      <c r="D116" s="43"/>
      <c r="E116" s="43"/>
      <c r="F116" s="43"/>
    </row>
    <row r="117" spans="1:6" x14ac:dyDescent="0.25">
      <c r="A117" s="43"/>
      <c r="B117" s="43"/>
      <c r="C117" s="43"/>
      <c r="D117" s="43"/>
      <c r="E117" s="43"/>
      <c r="F117" s="43"/>
    </row>
    <row r="118" spans="1:6" x14ac:dyDescent="0.25">
      <c r="A118" s="43"/>
      <c r="B118" s="43"/>
      <c r="C118" s="43"/>
      <c r="D118" s="43"/>
      <c r="E118" s="43"/>
      <c r="F118" s="43"/>
    </row>
    <row r="119" spans="1:6" x14ac:dyDescent="0.25">
      <c r="A119" s="43"/>
      <c r="B119" s="43"/>
      <c r="C119" s="43"/>
      <c r="D119" s="43"/>
      <c r="E119" s="43"/>
      <c r="F119" s="43"/>
    </row>
    <row r="120" spans="1:6" x14ac:dyDescent="0.25">
      <c r="A120" s="43"/>
      <c r="B120" s="43"/>
      <c r="C120" s="43"/>
      <c r="D120" s="43"/>
      <c r="E120" s="43"/>
      <c r="F120" s="43"/>
    </row>
    <row r="121" spans="1:6" x14ac:dyDescent="0.25">
      <c r="A121" s="43"/>
      <c r="B121" s="43"/>
      <c r="C121" s="43"/>
      <c r="D121" s="43"/>
      <c r="E121" s="43"/>
      <c r="F121" s="43"/>
    </row>
    <row r="122" spans="1:6" x14ac:dyDescent="0.25">
      <c r="A122" s="43"/>
      <c r="B122" s="43"/>
      <c r="C122" s="43"/>
      <c r="D122" s="43"/>
      <c r="E122" s="43"/>
      <c r="F122" s="43"/>
    </row>
    <row r="123" spans="1:6" x14ac:dyDescent="0.25">
      <c r="A123" s="43"/>
      <c r="B123" s="43"/>
      <c r="C123" s="43"/>
      <c r="D123" s="43"/>
      <c r="E123" s="43"/>
      <c r="F123" s="43"/>
    </row>
    <row r="124" spans="1:6" x14ac:dyDescent="0.25">
      <c r="A124" s="43"/>
      <c r="B124" s="43"/>
      <c r="C124" s="43"/>
      <c r="D124" s="43"/>
      <c r="E124" s="43"/>
      <c r="F124" s="43"/>
    </row>
    <row r="125" spans="1:6" x14ac:dyDescent="0.25">
      <c r="A125" s="43"/>
      <c r="B125" s="43"/>
      <c r="C125" s="43"/>
      <c r="D125" s="43"/>
      <c r="E125" s="43"/>
      <c r="F125" s="43"/>
    </row>
    <row r="126" spans="1:6" x14ac:dyDescent="0.25">
      <c r="A126" s="43"/>
      <c r="B126" s="43"/>
      <c r="C126" s="43"/>
      <c r="D126" s="43"/>
      <c r="E126" s="43"/>
      <c r="F126" s="43"/>
    </row>
    <row r="127" spans="1:6" x14ac:dyDescent="0.25">
      <c r="A127" s="43"/>
      <c r="B127" s="43"/>
      <c r="C127" s="43"/>
      <c r="D127" s="43"/>
      <c r="E127" s="43"/>
      <c r="F127" s="43"/>
    </row>
    <row r="128" spans="1:6" x14ac:dyDescent="0.25">
      <c r="A128" s="43"/>
      <c r="B128" s="43"/>
      <c r="C128" s="43"/>
      <c r="D128" s="43"/>
      <c r="E128" s="43"/>
      <c r="F128" s="43"/>
    </row>
    <row r="129" spans="1:6" x14ac:dyDescent="0.25">
      <c r="A129" s="43"/>
      <c r="B129" s="43"/>
      <c r="C129" s="43"/>
      <c r="D129" s="43"/>
      <c r="E129" s="43"/>
      <c r="F129" s="43"/>
    </row>
    <row r="130" spans="1:6" x14ac:dyDescent="0.25">
      <c r="A130" s="43"/>
      <c r="B130" s="43"/>
      <c r="C130" s="43"/>
      <c r="D130" s="43"/>
      <c r="E130" s="43"/>
      <c r="F130" s="43"/>
    </row>
    <row r="131" spans="1:6" x14ac:dyDescent="0.25">
      <c r="A131" s="43"/>
      <c r="B131" s="43"/>
      <c r="C131" s="43"/>
      <c r="D131" s="43"/>
      <c r="E131" s="43"/>
      <c r="F131" s="43"/>
    </row>
    <row r="132" spans="1:6" x14ac:dyDescent="0.25">
      <c r="A132" s="43"/>
      <c r="B132" s="43"/>
      <c r="C132" s="43"/>
      <c r="D132" s="43"/>
      <c r="E132" s="43"/>
      <c r="F132" s="43"/>
    </row>
    <row r="133" spans="1:6" x14ac:dyDescent="0.25">
      <c r="A133" s="43"/>
      <c r="B133" s="43"/>
      <c r="C133" s="43"/>
      <c r="D133" s="43"/>
      <c r="E133" s="43"/>
      <c r="F133" s="43"/>
    </row>
    <row r="134" spans="1:6" x14ac:dyDescent="0.25">
      <c r="A134" s="43"/>
      <c r="B134" s="43"/>
      <c r="C134" s="43"/>
      <c r="D134" s="43"/>
      <c r="E134" s="43"/>
      <c r="F134" s="43"/>
    </row>
    <row r="135" spans="1:6" x14ac:dyDescent="0.25">
      <c r="A135" s="43"/>
      <c r="B135" s="43"/>
      <c r="C135" s="43"/>
      <c r="D135" s="43"/>
      <c r="E135" s="43"/>
      <c r="F135" s="43"/>
    </row>
    <row r="136" spans="1:6" x14ac:dyDescent="0.25">
      <c r="A136" s="43"/>
      <c r="B136" s="43"/>
      <c r="C136" s="43"/>
      <c r="D136" s="43"/>
      <c r="E136" s="43"/>
      <c r="F136" s="43"/>
    </row>
    <row r="137" spans="1:6" x14ac:dyDescent="0.25">
      <c r="A137" s="43"/>
      <c r="B137" s="43"/>
      <c r="C137" s="43"/>
      <c r="D137" s="43"/>
      <c r="E137" s="43"/>
      <c r="F137" s="43"/>
    </row>
    <row r="138" spans="1:6" x14ac:dyDescent="0.25">
      <c r="A138" s="43"/>
      <c r="B138" s="43"/>
      <c r="C138" s="43"/>
      <c r="D138" s="43"/>
      <c r="E138" s="43"/>
      <c r="F138" s="43"/>
    </row>
    <row r="139" spans="1:6" x14ac:dyDescent="0.25">
      <c r="A139" s="43"/>
      <c r="B139" s="43"/>
      <c r="C139" s="43"/>
      <c r="D139" s="43"/>
      <c r="E139" s="43"/>
      <c r="F139" s="43"/>
    </row>
    <row r="140" spans="1:6" x14ac:dyDescent="0.25">
      <c r="A140" s="43"/>
      <c r="B140" s="43"/>
      <c r="C140" s="43"/>
      <c r="D140" s="43"/>
      <c r="E140" s="43"/>
      <c r="F140" s="43"/>
    </row>
    <row r="141" spans="1:6" ht="23.25" customHeight="1" x14ac:dyDescent="0.35">
      <c r="A141" s="43"/>
      <c r="B141" s="43"/>
      <c r="C141" s="515" t="s">
        <v>619</v>
      </c>
      <c r="D141" s="43"/>
      <c r="E141" s="43"/>
      <c r="F141" s="43"/>
    </row>
    <row r="142" spans="1:6" ht="21" x14ac:dyDescent="0.35">
      <c r="A142" s="106" t="s">
        <v>107</v>
      </c>
      <c r="B142" s="106" t="s">
        <v>112</v>
      </c>
      <c r="C142" s="79" t="s">
        <v>114</v>
      </c>
      <c r="D142" s="43"/>
      <c r="E142" s="43"/>
      <c r="F142" s="43"/>
    </row>
    <row r="143" spans="1:6" x14ac:dyDescent="0.25">
      <c r="A143" s="181">
        <v>50200</v>
      </c>
      <c r="B143" s="140" t="s">
        <v>531</v>
      </c>
      <c r="C143" s="154">
        <f>Wages!H111</f>
        <v>288095.98</v>
      </c>
      <c r="D143" s="140"/>
      <c r="E143" s="140"/>
      <c r="F143" s="140"/>
    </row>
    <row r="144" spans="1:6" x14ac:dyDescent="0.25">
      <c r="A144" s="510">
        <v>50195</v>
      </c>
      <c r="B144" s="147" t="s">
        <v>562</v>
      </c>
      <c r="C144" s="148">
        <f>Wages!H116</f>
        <v>44882.52</v>
      </c>
      <c r="D144" s="147"/>
      <c r="E144" s="511"/>
      <c r="F144" s="147"/>
    </row>
    <row r="145" spans="1:6" x14ac:dyDescent="0.25">
      <c r="A145" s="181">
        <v>50400</v>
      </c>
      <c r="B145" s="140" t="s">
        <v>73</v>
      </c>
      <c r="C145" s="154">
        <f>'Utility&amp;Auto&amp;Misc. Worksheet'!B341</f>
        <v>2709.83</v>
      </c>
      <c r="D145" s="140"/>
      <c r="E145" s="516"/>
      <c r="F145" s="140"/>
    </row>
    <row r="146" spans="1:6" x14ac:dyDescent="0.25">
      <c r="A146" s="510">
        <v>50450</v>
      </c>
      <c r="B146" s="147" t="s">
        <v>74</v>
      </c>
      <c r="C146" s="148">
        <f>'Utilities&amp;Auto'!E68</f>
        <v>2289.3809999999999</v>
      </c>
      <c r="D146" s="147"/>
      <c r="E146" s="147"/>
      <c r="F146" s="147"/>
    </row>
    <row r="147" spans="1:6" x14ac:dyDescent="0.25">
      <c r="A147" s="181">
        <v>50500</v>
      </c>
      <c r="B147" s="140" t="s">
        <v>75</v>
      </c>
      <c r="C147" s="154">
        <f>'Utilities&amp;Auto'!E70</f>
        <v>1014.4161</v>
      </c>
      <c r="D147" s="140"/>
      <c r="E147" s="140"/>
      <c r="F147" s="140"/>
    </row>
    <row r="148" spans="1:6" x14ac:dyDescent="0.25">
      <c r="A148" s="510">
        <v>50700</v>
      </c>
      <c r="B148" s="147" t="s">
        <v>76</v>
      </c>
      <c r="C148" s="148">
        <f>'Utilities&amp;Auto'!E71</f>
        <v>0</v>
      </c>
      <c r="D148" s="147"/>
      <c r="E148" s="147"/>
      <c r="F148" s="147"/>
    </row>
    <row r="149" spans="1:6" x14ac:dyDescent="0.25">
      <c r="A149" s="181">
        <v>50800</v>
      </c>
      <c r="B149" s="140" t="s">
        <v>77</v>
      </c>
      <c r="C149" s="154">
        <f>'Utilities&amp;Auto'!E22</f>
        <v>7768.6410999999998</v>
      </c>
      <c r="D149" s="140"/>
      <c r="E149" s="140"/>
      <c r="F149" s="140"/>
    </row>
    <row r="150" spans="1:6" x14ac:dyDescent="0.25">
      <c r="A150" s="510">
        <v>60300</v>
      </c>
      <c r="B150" s="147" t="s">
        <v>80</v>
      </c>
      <c r="C150" s="148">
        <f>'Payroll Taxes'!D53</f>
        <v>46130.962297500002</v>
      </c>
      <c r="D150" s="147"/>
      <c r="E150" s="147"/>
      <c r="F150" s="147"/>
    </row>
    <row r="151" spans="1:6" x14ac:dyDescent="0.25">
      <c r="A151" s="181">
        <v>60325</v>
      </c>
      <c r="B151" s="140" t="s">
        <v>81</v>
      </c>
      <c r="C151" s="154">
        <f>' PERS Retirement Benifits'!F62</f>
        <v>81117.134192800004</v>
      </c>
      <c r="D151" s="140"/>
      <c r="E151" s="140"/>
      <c r="F151" s="140"/>
    </row>
    <row r="152" spans="1:6" x14ac:dyDescent="0.25">
      <c r="A152" s="510">
        <v>60350</v>
      </c>
      <c r="B152" s="147" t="s">
        <v>614</v>
      </c>
      <c r="C152" s="148">
        <f>'Employee &amp; Ret. Health Benefits'!G62</f>
        <v>22740</v>
      </c>
      <c r="D152" s="147"/>
      <c r="E152" s="147"/>
      <c r="F152" s="147"/>
    </row>
    <row r="153" spans="1:6" x14ac:dyDescent="0.25">
      <c r="A153" s="181">
        <v>60400</v>
      </c>
      <c r="B153" s="410" t="s">
        <v>611</v>
      </c>
      <c r="C153" s="154">
        <f>'Employee &amp; Ret. Health Benefits'!G53</f>
        <v>97542.197999999989</v>
      </c>
      <c r="D153" s="140"/>
      <c r="E153" s="140"/>
      <c r="F153" s="140"/>
    </row>
    <row r="154" spans="1:6" x14ac:dyDescent="0.25">
      <c r="A154" s="510"/>
      <c r="B154" s="512"/>
      <c r="C154" s="148"/>
      <c r="D154" s="147"/>
      <c r="E154" s="147"/>
      <c r="F154" s="147"/>
    </row>
    <row r="155" spans="1:6" x14ac:dyDescent="0.25">
      <c r="A155" s="181">
        <v>60500</v>
      </c>
      <c r="B155" s="140" t="s">
        <v>84</v>
      </c>
      <c r="C155" s="154">
        <f>'Unemployment Taxes'!D55</f>
        <v>4123</v>
      </c>
      <c r="D155" s="140"/>
      <c r="E155" s="140"/>
      <c r="F155" s="140"/>
    </row>
    <row r="156" spans="1:6" x14ac:dyDescent="0.25">
      <c r="A156" s="510">
        <v>60600</v>
      </c>
      <c r="B156" s="147" t="s">
        <v>85</v>
      </c>
      <c r="C156" s="148">
        <f>'Workers Comp'!D54</f>
        <v>83185.727519999986</v>
      </c>
      <c r="D156" s="147"/>
      <c r="E156" s="147"/>
      <c r="F156" s="147"/>
    </row>
    <row r="157" spans="1:6" x14ac:dyDescent="0.25">
      <c r="A157" s="181">
        <v>60700</v>
      </c>
      <c r="B157" s="140" t="s">
        <v>86</v>
      </c>
      <c r="C157" s="154">
        <f>'Utilities&amp;Auto'!E77</f>
        <v>7869.2</v>
      </c>
      <c r="D157" s="140"/>
      <c r="E157" s="140"/>
      <c r="F157" s="140"/>
    </row>
    <row r="158" spans="1:6" x14ac:dyDescent="0.25">
      <c r="A158" s="510">
        <v>60800</v>
      </c>
      <c r="B158" s="147" t="s">
        <v>87</v>
      </c>
      <c r="C158" s="148">
        <f>'Utilities&amp;Auto'!E73</f>
        <v>1927.8715999999999</v>
      </c>
      <c r="D158" s="147"/>
      <c r="E158" s="147"/>
      <c r="F158" s="147"/>
    </row>
    <row r="159" spans="1:6" x14ac:dyDescent="0.25">
      <c r="A159" s="181">
        <v>60825</v>
      </c>
      <c r="B159" s="140" t="s">
        <v>88</v>
      </c>
      <c r="C159" s="154">
        <f>'Utility&amp;Auto&amp;Misc. Worksheet'!M368</f>
        <v>65000</v>
      </c>
      <c r="D159" s="140"/>
      <c r="E159" s="140"/>
      <c r="F159" s="140"/>
    </row>
    <row r="160" spans="1:6" x14ac:dyDescent="0.25">
      <c r="A160" s="510">
        <v>60900</v>
      </c>
      <c r="B160" s="147" t="s">
        <v>89</v>
      </c>
      <c r="C160" s="148">
        <f>'Utilities&amp;Auto'!E74</f>
        <v>503.02109999999999</v>
      </c>
      <c r="D160" s="147"/>
      <c r="E160" s="147"/>
      <c r="F160" s="147"/>
    </row>
    <row r="161" spans="1:6" x14ac:dyDescent="0.25">
      <c r="A161" s="181">
        <v>61100</v>
      </c>
      <c r="B161" s="140" t="s">
        <v>90</v>
      </c>
      <c r="C161" s="154">
        <f>'Utilities&amp;Auto'!E52</f>
        <v>16351.4766</v>
      </c>
      <c r="D161" s="140"/>
      <c r="E161" s="140"/>
      <c r="F161" s="140"/>
    </row>
    <row r="162" spans="1:6" x14ac:dyDescent="0.25">
      <c r="A162" s="510">
        <v>61200</v>
      </c>
      <c r="B162" s="147" t="s">
        <v>91</v>
      </c>
      <c r="C162" s="148">
        <f>'Utilities&amp;Auto'!E69</f>
        <v>2770.0717</v>
      </c>
      <c r="D162" s="147"/>
      <c r="E162" s="147"/>
      <c r="F162" s="147"/>
    </row>
    <row r="163" spans="1:6" x14ac:dyDescent="0.25">
      <c r="A163" s="181">
        <v>61250</v>
      </c>
      <c r="B163" s="140" t="s">
        <v>92</v>
      </c>
      <c r="C163" s="154">
        <f>'Utilities&amp;Auto'!E75</f>
        <v>11580.083999999999</v>
      </c>
      <c r="D163" s="140"/>
      <c r="E163" s="140"/>
      <c r="F163" s="140"/>
    </row>
    <row r="164" spans="1:6" x14ac:dyDescent="0.25">
      <c r="A164" s="510">
        <v>61300</v>
      </c>
      <c r="B164" s="147" t="s">
        <v>93</v>
      </c>
      <c r="C164" s="148">
        <f>'Professional Services'!D14</f>
        <v>23846.636000000002</v>
      </c>
      <c r="D164" s="147"/>
      <c r="E164" s="147"/>
      <c r="F164" s="147"/>
    </row>
    <row r="165" spans="1:6" x14ac:dyDescent="0.25">
      <c r="A165" s="181">
        <v>61700</v>
      </c>
      <c r="B165" s="140" t="s">
        <v>95</v>
      </c>
      <c r="C165" s="154">
        <f>'Utilities&amp;Auto'!E72</f>
        <v>4377.9119999999994</v>
      </c>
      <c r="D165" s="140"/>
      <c r="E165" s="140"/>
      <c r="F165" s="140"/>
    </row>
    <row r="166" spans="1:6" x14ac:dyDescent="0.25">
      <c r="A166" s="510">
        <v>61750</v>
      </c>
      <c r="B166" s="147" t="s">
        <v>96</v>
      </c>
      <c r="C166" s="148">
        <f>'Training And Travel'!F125</f>
        <v>1439.25</v>
      </c>
      <c r="D166" s="147"/>
      <c r="E166" s="147"/>
      <c r="F166" s="147"/>
    </row>
    <row r="167" spans="1:6" x14ac:dyDescent="0.25">
      <c r="A167" s="181">
        <v>61775</v>
      </c>
      <c r="B167" s="140" t="s">
        <v>97</v>
      </c>
      <c r="C167" s="154"/>
      <c r="D167" s="140"/>
      <c r="E167" s="140"/>
      <c r="F167" s="140"/>
    </row>
    <row r="168" spans="1:6" x14ac:dyDescent="0.25">
      <c r="A168" s="510">
        <v>61800</v>
      </c>
      <c r="B168" s="147" t="s">
        <v>98</v>
      </c>
      <c r="C168" s="148">
        <f>'Utilities&amp;Auto'!E66</f>
        <v>0</v>
      </c>
      <c r="D168" s="147"/>
      <c r="E168" s="147"/>
      <c r="F168" s="147"/>
    </row>
    <row r="169" spans="1:6" x14ac:dyDescent="0.25">
      <c r="A169" s="181"/>
      <c r="B169" s="140" t="s">
        <v>301</v>
      </c>
      <c r="C169" s="517">
        <f>SimpleInvoice10[[#Totals],[Price]]</f>
        <v>10250</v>
      </c>
      <c r="D169" s="140"/>
      <c r="E169" s="140"/>
      <c r="F169" s="140"/>
    </row>
    <row r="170" spans="1:6" ht="15.75" x14ac:dyDescent="0.25">
      <c r="A170" s="510"/>
      <c r="B170" s="514" t="s">
        <v>300</v>
      </c>
      <c r="C170" s="148"/>
      <c r="D170" s="147"/>
      <c r="E170" s="147"/>
      <c r="F170" s="147"/>
    </row>
    <row r="171" spans="1:6" x14ac:dyDescent="0.25">
      <c r="A171" s="181"/>
      <c r="B171" s="140" t="s">
        <v>99</v>
      </c>
      <c r="C171" s="258">
        <f>SUM(C143:C170)</f>
        <v>827515.31321029994</v>
      </c>
      <c r="D171" s="140"/>
      <c r="E171" s="140"/>
      <c r="F171" s="140"/>
    </row>
    <row r="172" spans="1:6" x14ac:dyDescent="0.25">
      <c r="A172" s="43"/>
      <c r="B172" s="43"/>
      <c r="C172" s="43"/>
      <c r="D172" s="43"/>
      <c r="E172" s="43"/>
      <c r="F172" s="43"/>
    </row>
    <row r="173" spans="1:6" x14ac:dyDescent="0.25">
      <c r="A173" s="43"/>
      <c r="B173" s="43"/>
      <c r="C173" s="43"/>
      <c r="D173" s="43"/>
      <c r="E173" s="43"/>
      <c r="F173" s="43"/>
    </row>
    <row r="174" spans="1:6" x14ac:dyDescent="0.25">
      <c r="A174" s="43"/>
      <c r="B174" s="43"/>
      <c r="C174" s="43"/>
      <c r="D174" s="43"/>
      <c r="E174" s="43"/>
      <c r="F174" s="43"/>
    </row>
    <row r="175" spans="1:6" x14ac:dyDescent="0.25">
      <c r="A175" s="43"/>
      <c r="B175" s="43"/>
      <c r="C175" s="43"/>
      <c r="D175" s="43"/>
      <c r="E175" s="43"/>
      <c r="F175" s="43"/>
    </row>
    <row r="176" spans="1:6" x14ac:dyDescent="0.25">
      <c r="A176" s="43"/>
      <c r="B176" s="43"/>
      <c r="C176" s="43"/>
      <c r="D176" s="43"/>
      <c r="E176" s="43"/>
      <c r="F176" s="43"/>
    </row>
    <row r="177" spans="1:6" x14ac:dyDescent="0.25">
      <c r="A177" s="43"/>
      <c r="B177" s="43"/>
      <c r="C177" s="43"/>
      <c r="D177" s="43"/>
      <c r="E177" s="43"/>
      <c r="F177" s="43"/>
    </row>
    <row r="178" spans="1:6" x14ac:dyDescent="0.25">
      <c r="A178" s="43"/>
      <c r="B178" s="43"/>
      <c r="C178" s="43"/>
      <c r="D178" s="43"/>
      <c r="E178" s="43"/>
      <c r="F178" s="43"/>
    </row>
    <row r="179" spans="1:6" x14ac:dyDescent="0.25">
      <c r="A179" s="43"/>
      <c r="B179" s="43"/>
      <c r="C179" s="43"/>
      <c r="D179" s="43"/>
      <c r="E179" s="43"/>
      <c r="F179" s="43"/>
    </row>
    <row r="180" spans="1:6" x14ac:dyDescent="0.25">
      <c r="A180" s="43"/>
      <c r="B180" s="43"/>
      <c r="C180" s="43"/>
      <c r="D180" s="43"/>
      <c r="E180" s="43"/>
      <c r="F180" s="43"/>
    </row>
    <row r="181" spans="1:6" x14ac:dyDescent="0.25">
      <c r="A181" s="43"/>
      <c r="B181" s="43"/>
      <c r="C181" s="43"/>
      <c r="D181" s="43"/>
      <c r="E181" s="43"/>
      <c r="F181" s="43"/>
    </row>
    <row r="182" spans="1:6" x14ac:dyDescent="0.25">
      <c r="A182" s="43"/>
      <c r="B182" s="43"/>
      <c r="C182" s="43"/>
      <c r="D182" s="43"/>
      <c r="E182" s="43"/>
      <c r="F182" s="43"/>
    </row>
    <row r="183" spans="1:6" x14ac:dyDescent="0.25">
      <c r="A183" s="43"/>
      <c r="B183" s="43"/>
      <c r="C183" s="43"/>
      <c r="D183" s="43"/>
      <c r="E183" s="43"/>
      <c r="F183" s="43"/>
    </row>
    <row r="184" spans="1:6" x14ac:dyDescent="0.25">
      <c r="A184" s="43"/>
      <c r="B184" s="43"/>
      <c r="C184" s="43"/>
      <c r="D184" s="43"/>
      <c r="E184" s="43"/>
      <c r="F184" s="43"/>
    </row>
    <row r="185" spans="1:6" x14ac:dyDescent="0.25">
      <c r="A185" s="43"/>
      <c r="B185" s="43"/>
      <c r="C185" s="43"/>
      <c r="D185" s="43"/>
      <c r="E185" s="43"/>
      <c r="F185" s="43"/>
    </row>
    <row r="186" spans="1:6" x14ac:dyDescent="0.25">
      <c r="A186" s="43"/>
      <c r="B186" s="43"/>
      <c r="C186" s="43"/>
      <c r="D186" s="43"/>
      <c r="E186" s="43"/>
      <c r="F186" s="43"/>
    </row>
    <row r="187" spans="1:6" x14ac:dyDescent="0.25">
      <c r="A187" s="43"/>
      <c r="B187" s="43"/>
      <c r="C187" s="43"/>
      <c r="D187" s="43"/>
      <c r="E187" s="43"/>
      <c r="F187" s="43"/>
    </row>
    <row r="188" spans="1:6" x14ac:dyDescent="0.25">
      <c r="A188" s="43"/>
      <c r="B188" s="43"/>
      <c r="C188" s="43"/>
      <c r="D188" s="43"/>
      <c r="E188" s="43"/>
      <c r="F188" s="43"/>
    </row>
    <row r="189" spans="1:6" x14ac:dyDescent="0.25">
      <c r="A189" s="43"/>
      <c r="B189" s="43"/>
      <c r="C189" s="43"/>
      <c r="D189" s="43"/>
      <c r="E189" s="43"/>
      <c r="F189" s="43"/>
    </row>
    <row r="190" spans="1:6" x14ac:dyDescent="0.25">
      <c r="A190" s="43"/>
      <c r="B190" s="43"/>
      <c r="C190" s="43"/>
      <c r="D190" s="43"/>
      <c r="E190" s="43"/>
      <c r="F190" s="43"/>
    </row>
    <row r="191" spans="1:6" x14ac:dyDescent="0.25">
      <c r="A191" s="43"/>
      <c r="B191" s="43"/>
      <c r="C191" s="43"/>
      <c r="D191" s="43"/>
      <c r="E191" s="43"/>
      <c r="F191" s="43"/>
    </row>
    <row r="192" spans="1:6" x14ac:dyDescent="0.25">
      <c r="A192" s="43"/>
      <c r="B192" s="43"/>
      <c r="C192" s="43"/>
      <c r="D192" s="43"/>
      <c r="E192" s="43"/>
      <c r="F192" s="43"/>
    </row>
    <row r="193" spans="1:6" x14ac:dyDescent="0.25">
      <c r="A193" s="43"/>
      <c r="B193" s="43"/>
      <c r="C193" s="43"/>
      <c r="D193" s="43"/>
      <c r="E193" s="43"/>
      <c r="F193" s="43"/>
    </row>
    <row r="194" spans="1:6" x14ac:dyDescent="0.25">
      <c r="A194" s="43"/>
      <c r="B194" s="43"/>
      <c r="C194" s="43"/>
      <c r="D194" s="43"/>
      <c r="E194" s="43"/>
      <c r="F194" s="43"/>
    </row>
    <row r="195" spans="1:6" x14ac:dyDescent="0.25">
      <c r="A195" s="43"/>
      <c r="B195" s="43"/>
      <c r="C195" s="43"/>
      <c r="D195" s="43"/>
      <c r="E195" s="43"/>
      <c r="F195" s="43"/>
    </row>
    <row r="196" spans="1:6" x14ac:dyDescent="0.25">
      <c r="A196" s="43"/>
      <c r="B196" s="43"/>
      <c r="C196" s="43"/>
      <c r="D196" s="43"/>
      <c r="E196" s="43"/>
      <c r="F196" s="43"/>
    </row>
    <row r="197" spans="1:6" x14ac:dyDescent="0.25">
      <c r="A197" s="43"/>
      <c r="B197" s="43"/>
      <c r="C197" s="43"/>
      <c r="D197" s="43"/>
      <c r="E197" s="43"/>
      <c r="F197" s="43"/>
    </row>
    <row r="198" spans="1:6" x14ac:dyDescent="0.25">
      <c r="A198" s="43"/>
      <c r="B198" s="43"/>
      <c r="C198" s="43"/>
      <c r="D198" s="43"/>
      <c r="E198" s="43"/>
      <c r="F198" s="43"/>
    </row>
    <row r="199" spans="1:6" x14ac:dyDescent="0.25">
      <c r="A199" s="43"/>
      <c r="B199" s="43"/>
      <c r="C199" s="43"/>
      <c r="D199" s="43"/>
      <c r="E199" s="43"/>
      <c r="F199" s="43"/>
    </row>
    <row r="200" spans="1:6" x14ac:dyDescent="0.25">
      <c r="A200" s="43"/>
      <c r="B200" s="43"/>
      <c r="C200" s="43"/>
      <c r="D200" s="43"/>
      <c r="E200" s="43"/>
      <c r="F200" s="43"/>
    </row>
    <row r="201" spans="1:6" x14ac:dyDescent="0.25">
      <c r="A201" s="43"/>
      <c r="B201" s="43"/>
      <c r="C201" s="43"/>
      <c r="D201" s="43"/>
      <c r="E201" s="43"/>
      <c r="F201" s="43"/>
    </row>
    <row r="202" spans="1:6" x14ac:dyDescent="0.25">
      <c r="A202" s="43"/>
      <c r="B202" s="43"/>
      <c r="C202" s="43"/>
      <c r="D202" s="43"/>
      <c r="E202" s="43"/>
      <c r="F202" s="43"/>
    </row>
    <row r="203" spans="1:6" x14ac:dyDescent="0.25">
      <c r="A203" s="43"/>
      <c r="B203" s="43"/>
      <c r="C203" s="43"/>
      <c r="D203" s="43"/>
      <c r="E203" s="43"/>
      <c r="F203" s="43"/>
    </row>
    <row r="204" spans="1:6" x14ac:dyDescent="0.25">
      <c r="A204" s="43"/>
      <c r="B204" s="43"/>
      <c r="C204" s="43"/>
      <c r="D204" s="43"/>
      <c r="E204" s="43"/>
      <c r="F204" s="43"/>
    </row>
    <row r="205" spans="1:6" x14ac:dyDescent="0.25">
      <c r="A205" s="43"/>
      <c r="B205" s="43"/>
      <c r="C205" s="43"/>
      <c r="D205" s="43"/>
      <c r="E205" s="43"/>
      <c r="F205" s="43">
        <v>6</v>
      </c>
    </row>
    <row r="206" spans="1:6" ht="21" customHeight="1" x14ac:dyDescent="0.35">
      <c r="A206" s="43" t="s">
        <v>18</v>
      </c>
      <c r="B206" s="43" t="s">
        <v>112</v>
      </c>
      <c r="C206" s="110" t="s">
        <v>621</v>
      </c>
      <c r="D206" s="43"/>
      <c r="E206" s="43"/>
      <c r="F206" s="43"/>
    </row>
    <row r="207" spans="1:6" ht="21" x14ac:dyDescent="0.35">
      <c r="A207" s="123" t="s">
        <v>107</v>
      </c>
      <c r="B207" s="36"/>
      <c r="C207" s="116" t="s">
        <v>114</v>
      </c>
      <c r="D207" s="36"/>
      <c r="E207" s="36"/>
      <c r="F207" s="36"/>
    </row>
    <row r="208" spans="1:6" x14ac:dyDescent="0.25">
      <c r="A208" s="510">
        <v>50200</v>
      </c>
      <c r="B208" s="147" t="s">
        <v>532</v>
      </c>
      <c r="C208" s="148">
        <f>Wages!J111</f>
        <v>242081.19</v>
      </c>
      <c r="D208" s="147"/>
      <c r="E208" s="147"/>
      <c r="F208" s="147"/>
    </row>
    <row r="209" spans="1:6" x14ac:dyDescent="0.25">
      <c r="A209" s="181">
        <v>50195</v>
      </c>
      <c r="B209" s="140" t="s">
        <v>562</v>
      </c>
      <c r="C209" s="154">
        <f>Wages!J116</f>
        <v>54786.579999999994</v>
      </c>
      <c r="D209" s="140"/>
      <c r="E209" s="140"/>
      <c r="F209" s="140"/>
    </row>
    <row r="210" spans="1:6" x14ac:dyDescent="0.25">
      <c r="A210" s="510">
        <v>50400</v>
      </c>
      <c r="B210" s="147" t="s">
        <v>73</v>
      </c>
      <c r="C210" s="148">
        <f>'Utilities&amp;Auto'!F67</f>
        <v>8202.8581999999988</v>
      </c>
      <c r="D210" s="147"/>
      <c r="E210" s="147"/>
      <c r="F210" s="147"/>
    </row>
    <row r="211" spans="1:6" x14ac:dyDescent="0.25">
      <c r="A211" s="181">
        <v>50450</v>
      </c>
      <c r="B211" s="140" t="s">
        <v>74</v>
      </c>
      <c r="C211" s="154">
        <f>'Utilities&amp;Auto'!F68</f>
        <v>74.613199999999992</v>
      </c>
      <c r="D211" s="140"/>
      <c r="E211" s="140"/>
      <c r="F211" s="140"/>
    </row>
    <row r="212" spans="1:6" x14ac:dyDescent="0.25">
      <c r="A212" s="510">
        <v>50500</v>
      </c>
      <c r="B212" s="147" t="s">
        <v>75</v>
      </c>
      <c r="C212" s="148">
        <f>'Utilities&amp;Auto'!F70</f>
        <v>160.2268</v>
      </c>
      <c r="D212" s="147"/>
      <c r="E212" s="147"/>
      <c r="F212" s="147"/>
    </row>
    <row r="213" spans="1:6" x14ac:dyDescent="0.25">
      <c r="A213" s="181">
        <v>50800</v>
      </c>
      <c r="B213" s="140" t="s">
        <v>77</v>
      </c>
      <c r="C213" s="154">
        <f>'Utilities&amp;Auto'!F22</f>
        <v>7768.6102000000001</v>
      </c>
      <c r="D213" s="140"/>
      <c r="E213" s="140"/>
      <c r="F213" s="140"/>
    </row>
    <row r="214" spans="1:6" x14ac:dyDescent="0.25">
      <c r="A214" s="510">
        <v>60300</v>
      </c>
      <c r="B214" s="147" t="s">
        <v>80</v>
      </c>
      <c r="C214" s="148">
        <f>'Payroll Taxes'!E53</f>
        <v>83813.258857500012</v>
      </c>
      <c r="D214" s="147"/>
      <c r="E214" s="147"/>
      <c r="F214" s="147"/>
    </row>
    <row r="215" spans="1:6" x14ac:dyDescent="0.25">
      <c r="A215" s="181">
        <v>60325</v>
      </c>
      <c r="B215" s="140" t="s">
        <v>81</v>
      </c>
      <c r="C215" s="154">
        <f>' PERS Retirement Benifits'!H62</f>
        <v>96705.565956799997</v>
      </c>
      <c r="D215" s="140"/>
      <c r="E215" s="140"/>
      <c r="F215" s="140"/>
    </row>
    <row r="216" spans="1:6" x14ac:dyDescent="0.25">
      <c r="A216" s="510">
        <v>60350</v>
      </c>
      <c r="B216" s="147" t="s">
        <v>614</v>
      </c>
      <c r="C216" s="148">
        <f>'Employee &amp; Ret. Health Benefits'!I62</f>
        <v>25452</v>
      </c>
      <c r="D216" s="147"/>
      <c r="E216" s="147"/>
      <c r="F216" s="147"/>
    </row>
    <row r="217" spans="1:6" x14ac:dyDescent="0.25">
      <c r="A217" s="181">
        <v>60400</v>
      </c>
      <c r="B217" s="410" t="s">
        <v>611</v>
      </c>
      <c r="C217" s="154">
        <f>'Employee &amp; Ret. Health Benefits'!I53</f>
        <v>67326.334000000003</v>
      </c>
      <c r="D217" s="140"/>
      <c r="E217" s="140"/>
      <c r="F217" s="140"/>
    </row>
    <row r="218" spans="1:6" x14ac:dyDescent="0.25">
      <c r="A218" s="510">
        <v>60500</v>
      </c>
      <c r="B218" s="147" t="s">
        <v>84</v>
      </c>
      <c r="C218" s="148">
        <f>'Unemployment Taxes'!E55</f>
        <v>3255</v>
      </c>
      <c r="D218" s="147"/>
      <c r="E218" s="147"/>
      <c r="F218" s="147"/>
    </row>
    <row r="219" spans="1:6" x14ac:dyDescent="0.25">
      <c r="A219" s="181">
        <v>60600</v>
      </c>
      <c r="B219" s="140" t="s">
        <v>85</v>
      </c>
      <c r="C219" s="154">
        <f>'Workers Comp'!E54</f>
        <v>76074.937468160002</v>
      </c>
      <c r="D219" s="140"/>
      <c r="E219" s="140"/>
      <c r="F219" s="140"/>
    </row>
    <row r="220" spans="1:6" x14ac:dyDescent="0.25">
      <c r="A220" s="510">
        <v>60700</v>
      </c>
      <c r="B220" s="147" t="s">
        <v>86</v>
      </c>
      <c r="C220" s="148">
        <f>'Utilities&amp;Auto'!F77</f>
        <v>7869.2</v>
      </c>
      <c r="D220" s="147"/>
      <c r="E220" s="147"/>
      <c r="F220" s="147"/>
    </row>
    <row r="221" spans="1:6" x14ac:dyDescent="0.25">
      <c r="A221" s="181">
        <v>60800</v>
      </c>
      <c r="B221" s="140" t="s">
        <v>87</v>
      </c>
      <c r="C221" s="154">
        <f>'Utilities&amp;Auto'!F73</f>
        <v>5678.9359000000004</v>
      </c>
      <c r="D221" s="140"/>
      <c r="E221" s="140"/>
      <c r="F221" s="140"/>
    </row>
    <row r="222" spans="1:6" x14ac:dyDescent="0.25">
      <c r="A222" s="510">
        <v>60825</v>
      </c>
      <c r="B222" s="147" t="s">
        <v>88</v>
      </c>
      <c r="C222" s="148"/>
      <c r="D222" s="147"/>
      <c r="E222" s="147"/>
      <c r="F222" s="147"/>
    </row>
    <row r="223" spans="1:6" x14ac:dyDescent="0.25">
      <c r="A223" s="181">
        <v>60900</v>
      </c>
      <c r="B223" s="140" t="s">
        <v>89</v>
      </c>
      <c r="C223" s="154">
        <f>'Utilities&amp;Auto'!F74</f>
        <v>521.77739999999994</v>
      </c>
      <c r="D223" s="140"/>
      <c r="E223" s="140"/>
      <c r="F223" s="140"/>
    </row>
    <row r="224" spans="1:6" x14ac:dyDescent="0.25">
      <c r="A224" s="510">
        <v>61100</v>
      </c>
      <c r="B224" s="147" t="s">
        <v>90</v>
      </c>
      <c r="C224" s="148">
        <f>'Utilities&amp;Auto'!F52</f>
        <v>12117.1672</v>
      </c>
      <c r="D224" s="147"/>
      <c r="E224" s="147"/>
      <c r="F224" s="147"/>
    </row>
    <row r="225" spans="1:6" x14ac:dyDescent="0.25">
      <c r="A225" s="181">
        <v>61200</v>
      </c>
      <c r="B225" s="140" t="s">
        <v>91</v>
      </c>
      <c r="C225" s="154">
        <f>'Utilities&amp;Auto'!F69</f>
        <v>6519.2717000000002</v>
      </c>
      <c r="D225" s="140"/>
      <c r="E225" s="140"/>
      <c r="F225" s="140"/>
    </row>
    <row r="226" spans="1:6" x14ac:dyDescent="0.25">
      <c r="A226" s="510">
        <v>61250</v>
      </c>
      <c r="B226" s="147" t="s">
        <v>92</v>
      </c>
      <c r="C226" s="148">
        <f>'Utilities&amp;Auto'!F75</f>
        <v>8866.0339999999997</v>
      </c>
      <c r="D226" s="147"/>
      <c r="E226" s="147"/>
      <c r="F226" s="147"/>
    </row>
    <row r="227" spans="1:6" x14ac:dyDescent="0.25">
      <c r="A227" s="181">
        <v>61300</v>
      </c>
      <c r="B227" s="140" t="s">
        <v>93</v>
      </c>
      <c r="C227" s="154">
        <f>'Professional Services'!E14</f>
        <v>24716.724999999999</v>
      </c>
      <c r="D227" s="140"/>
      <c r="E227" s="140"/>
      <c r="F227" s="140"/>
    </row>
    <row r="228" spans="1:6" x14ac:dyDescent="0.25">
      <c r="A228" s="510">
        <v>61700</v>
      </c>
      <c r="B228" s="147" t="s">
        <v>95</v>
      </c>
      <c r="C228" s="148">
        <f>'Utilities&amp;Auto'!F72</f>
        <v>4108.6184999999996</v>
      </c>
      <c r="D228" s="147"/>
      <c r="E228" s="147"/>
      <c r="F228" s="147"/>
    </row>
    <row r="229" spans="1:6" x14ac:dyDescent="0.25">
      <c r="A229" s="181">
        <v>61750</v>
      </c>
      <c r="B229" s="140" t="s">
        <v>96</v>
      </c>
      <c r="C229" s="154">
        <f>'Training And Travel'!H125</f>
        <v>1192.8333333333333</v>
      </c>
      <c r="D229" s="140"/>
      <c r="E229" s="140"/>
      <c r="F229" s="140"/>
    </row>
    <row r="230" spans="1:6" x14ac:dyDescent="0.25">
      <c r="A230" s="510">
        <v>61800</v>
      </c>
      <c r="B230" s="147" t="s">
        <v>98</v>
      </c>
      <c r="C230" s="148">
        <f>'Utilities&amp;Auto'!F66</f>
        <v>0</v>
      </c>
      <c r="D230" s="147"/>
      <c r="E230" s="147"/>
      <c r="F230" s="147"/>
    </row>
    <row r="231" spans="1:6" x14ac:dyDescent="0.25">
      <c r="A231" s="181"/>
      <c r="B231" s="140" t="s">
        <v>298</v>
      </c>
      <c r="C231" s="154"/>
      <c r="D231" s="140"/>
      <c r="E231" s="140"/>
      <c r="F231" s="140"/>
    </row>
    <row r="232" spans="1:6" x14ac:dyDescent="0.25">
      <c r="A232" s="510"/>
      <c r="B232" s="215" t="s">
        <v>299</v>
      </c>
      <c r="C232" s="513">
        <f>SimpleInvoice9[[#Totals],[Price]]</f>
        <v>13050</v>
      </c>
      <c r="D232" s="147"/>
      <c r="E232" s="147"/>
      <c r="F232" s="147"/>
    </row>
    <row r="233" spans="1:6" x14ac:dyDescent="0.25">
      <c r="A233" s="181">
        <v>61750</v>
      </c>
      <c r="B233" s="140" t="s">
        <v>96</v>
      </c>
      <c r="C233" s="154">
        <f>'Training And Travel'!H125</f>
        <v>1192.8333333333333</v>
      </c>
      <c r="D233" s="140"/>
      <c r="E233" s="140"/>
      <c r="F233" s="140"/>
    </row>
    <row r="234" spans="1:6" x14ac:dyDescent="0.25">
      <c r="A234" s="510"/>
      <c r="B234" s="147"/>
      <c r="C234" s="148"/>
      <c r="D234" s="147"/>
      <c r="E234" s="147"/>
      <c r="F234" s="147"/>
    </row>
    <row r="235" spans="1:6" x14ac:dyDescent="0.25">
      <c r="A235" s="181"/>
      <c r="B235" s="140"/>
      <c r="C235" s="258">
        <f>SUM(C208:C234)</f>
        <v>751534.5710491268</v>
      </c>
      <c r="D235" s="140"/>
      <c r="E235" s="140"/>
      <c r="F235" s="140"/>
    </row>
    <row r="236" spans="1:6" ht="15.75" x14ac:dyDescent="0.25">
      <c r="A236" s="42"/>
      <c r="B236" s="322"/>
      <c r="C236" s="43"/>
      <c r="D236" s="43"/>
      <c r="E236" s="43"/>
      <c r="F236" s="43"/>
    </row>
    <row r="237" spans="1:6" ht="15.75" x14ac:dyDescent="0.25">
      <c r="A237" s="42"/>
      <c r="B237" s="322"/>
      <c r="C237" s="43"/>
      <c r="D237" s="43"/>
      <c r="E237" s="43"/>
      <c r="F237" s="43"/>
    </row>
    <row r="238" spans="1:6" ht="15.75" x14ac:dyDescent="0.25">
      <c r="A238" s="42"/>
      <c r="B238" s="322"/>
      <c r="C238" s="43"/>
      <c r="D238" s="43"/>
      <c r="E238" s="43"/>
      <c r="F238" s="43"/>
    </row>
    <row r="239" spans="1:6" x14ac:dyDescent="0.25">
      <c r="A239" s="43"/>
      <c r="B239" s="43"/>
      <c r="C239" s="43"/>
      <c r="D239" s="43"/>
      <c r="E239" s="43"/>
      <c r="F239" s="43">
        <v>7</v>
      </c>
    </row>
    <row r="240" spans="1:6" ht="21" x14ac:dyDescent="0.35">
      <c r="A240" s="106" t="s">
        <v>108</v>
      </c>
      <c r="B240" s="43" t="s">
        <v>111</v>
      </c>
      <c r="C240" s="110" t="s">
        <v>66</v>
      </c>
      <c r="D240" s="43"/>
      <c r="E240" s="43"/>
      <c r="F240" s="43"/>
    </row>
    <row r="241" spans="1:6" ht="20.25" customHeight="1" x14ac:dyDescent="0.25">
      <c r="A241" s="43"/>
      <c r="B241" s="43"/>
      <c r="C241" s="43"/>
      <c r="D241" s="43"/>
      <c r="E241" s="43"/>
      <c r="F241" s="43"/>
    </row>
    <row r="242" spans="1:6" ht="17.25" customHeight="1" x14ac:dyDescent="0.3">
      <c r="A242" s="43"/>
      <c r="B242" s="43"/>
      <c r="C242" s="111" t="s">
        <v>558</v>
      </c>
      <c r="D242" s="43"/>
      <c r="E242" s="79"/>
      <c r="F242" s="112"/>
    </row>
    <row r="243" spans="1:6" ht="15.75" customHeight="1" x14ac:dyDescent="0.3">
      <c r="A243" s="36"/>
      <c r="B243" s="36"/>
      <c r="C243" s="116"/>
      <c r="D243" s="36"/>
      <c r="E243" s="116"/>
      <c r="F243" s="117"/>
    </row>
    <row r="244" spans="1:6" ht="18.75" x14ac:dyDescent="0.3">
      <c r="A244" s="43"/>
      <c r="B244" s="111"/>
      <c r="C244" s="113" t="s">
        <v>4</v>
      </c>
      <c r="D244" s="43"/>
      <c r="E244" s="113"/>
      <c r="F244" s="43"/>
    </row>
    <row r="245" spans="1:6" x14ac:dyDescent="0.25">
      <c r="A245" s="36"/>
      <c r="B245" s="36"/>
      <c r="C245" s="520">
        <f>'Utilities&amp;Auto'!C9</f>
        <v>21000</v>
      </c>
      <c r="D245" s="36"/>
      <c r="E245" s="36"/>
      <c r="F245" s="36"/>
    </row>
    <row r="246" spans="1:6" x14ac:dyDescent="0.25">
      <c r="A246" s="43"/>
      <c r="B246" s="43"/>
      <c r="C246" s="43"/>
      <c r="D246" s="43"/>
      <c r="E246" s="43"/>
      <c r="F246" s="43"/>
    </row>
    <row r="247" spans="1:6" ht="21" x14ac:dyDescent="0.35">
      <c r="A247" s="106" t="s">
        <v>108</v>
      </c>
      <c r="B247" s="43" t="s">
        <v>111</v>
      </c>
      <c r="C247" s="110"/>
      <c r="D247" s="43"/>
      <c r="E247" s="43"/>
      <c r="F247" s="43"/>
    </row>
    <row r="248" spans="1:6" ht="20.25" customHeight="1" x14ac:dyDescent="0.25">
      <c r="A248" s="43"/>
      <c r="B248" s="43"/>
      <c r="C248" s="43"/>
      <c r="D248" s="43"/>
      <c r="E248" s="43"/>
      <c r="F248" s="43"/>
    </row>
    <row r="249" spans="1:6" ht="20.25" customHeight="1" x14ac:dyDescent="0.3">
      <c r="A249" s="43"/>
      <c r="B249" s="43"/>
      <c r="C249" s="111"/>
      <c r="D249" s="43"/>
      <c r="E249" s="79"/>
      <c r="F249" s="112"/>
    </row>
    <row r="250" spans="1:6" ht="15.75" customHeight="1" x14ac:dyDescent="0.3">
      <c r="A250" s="43"/>
      <c r="B250" s="43"/>
      <c r="C250" s="79"/>
      <c r="D250" s="43"/>
      <c r="E250" s="79"/>
      <c r="F250" s="112"/>
    </row>
    <row r="251" spans="1:6" ht="18.75" x14ac:dyDescent="0.3">
      <c r="A251" s="43"/>
      <c r="B251" s="111"/>
      <c r="C251" s="113"/>
      <c r="D251" s="43"/>
      <c r="E251" s="113"/>
      <c r="F251" s="43"/>
    </row>
    <row r="252" spans="1:6" x14ac:dyDescent="0.25">
      <c r="A252" s="43"/>
      <c r="B252" s="43"/>
      <c r="C252" s="108"/>
      <c r="D252" s="43"/>
      <c r="E252" s="43"/>
      <c r="F252" s="43"/>
    </row>
    <row r="253" spans="1:6" x14ac:dyDescent="0.25">
      <c r="A253" s="43"/>
      <c r="B253" s="43"/>
      <c r="C253" s="43"/>
      <c r="D253" s="43"/>
      <c r="E253" s="43"/>
      <c r="F253" s="43"/>
    </row>
    <row r="254" spans="1:6" x14ac:dyDescent="0.25">
      <c r="A254" s="43"/>
      <c r="B254" s="43"/>
      <c r="C254" s="43"/>
      <c r="D254" s="43"/>
      <c r="E254" s="43"/>
      <c r="F254" s="43"/>
    </row>
    <row r="255" spans="1:6" x14ac:dyDescent="0.25">
      <c r="A255" s="43"/>
      <c r="B255" s="43"/>
      <c r="C255" s="43"/>
      <c r="D255" s="43"/>
      <c r="E255" s="43"/>
      <c r="F255" s="43"/>
    </row>
    <row r="256" spans="1:6" x14ac:dyDescent="0.25">
      <c r="A256" s="43"/>
      <c r="B256" s="43"/>
      <c r="C256" s="43"/>
      <c r="D256" s="43"/>
      <c r="E256" s="43"/>
      <c r="F256" s="43"/>
    </row>
    <row r="257" spans="1:6" x14ac:dyDescent="0.25">
      <c r="A257" s="43"/>
      <c r="B257" s="43"/>
      <c r="C257" s="43"/>
      <c r="D257" s="43"/>
      <c r="E257" s="43"/>
      <c r="F257" s="43"/>
    </row>
    <row r="258" spans="1:6" x14ac:dyDescent="0.25">
      <c r="A258" s="43"/>
      <c r="B258" s="43"/>
      <c r="C258" s="43"/>
      <c r="D258" s="43"/>
      <c r="E258" s="43"/>
      <c r="F258" s="43"/>
    </row>
    <row r="259" spans="1:6" x14ac:dyDescent="0.25">
      <c r="A259" s="43"/>
      <c r="B259" s="43"/>
      <c r="C259" s="43"/>
      <c r="D259" s="43"/>
      <c r="E259" s="43"/>
      <c r="F259" s="43"/>
    </row>
    <row r="260" spans="1:6" x14ac:dyDescent="0.25">
      <c r="A260" s="43"/>
      <c r="B260" s="43"/>
      <c r="C260" s="43"/>
      <c r="D260" s="43"/>
      <c r="E260" s="43"/>
      <c r="F260" s="43"/>
    </row>
    <row r="261" spans="1:6" x14ac:dyDescent="0.25">
      <c r="A261" s="43"/>
      <c r="B261" s="43"/>
      <c r="C261" s="43"/>
      <c r="D261" s="43"/>
      <c r="E261" s="43"/>
      <c r="F261" s="43"/>
    </row>
    <row r="262" spans="1:6" x14ac:dyDescent="0.25">
      <c r="A262" s="43"/>
      <c r="B262" s="43"/>
      <c r="C262" s="43"/>
      <c r="D262" s="43"/>
      <c r="E262" s="43"/>
      <c r="F262" s="43"/>
    </row>
    <row r="263" spans="1:6" x14ac:dyDescent="0.25">
      <c r="A263" s="43"/>
      <c r="B263" s="43"/>
      <c r="C263" s="43"/>
      <c r="D263" s="43"/>
      <c r="E263" s="43"/>
      <c r="F263" s="43"/>
    </row>
    <row r="264" spans="1:6" x14ac:dyDescent="0.25">
      <c r="A264" s="43"/>
      <c r="B264" s="43"/>
      <c r="C264" s="43"/>
      <c r="D264" s="43"/>
      <c r="E264" s="43"/>
      <c r="F264" s="43"/>
    </row>
    <row r="265" spans="1:6" x14ac:dyDescent="0.25">
      <c r="A265" s="43"/>
      <c r="B265" s="43"/>
      <c r="C265" s="43"/>
      <c r="D265" s="43"/>
      <c r="E265" s="43"/>
      <c r="F265" s="43"/>
    </row>
    <row r="266" spans="1:6" x14ac:dyDescent="0.25">
      <c r="A266" s="43"/>
      <c r="B266" s="43"/>
      <c r="C266" s="43"/>
      <c r="D266" s="43"/>
      <c r="E266" s="43"/>
      <c r="F266" s="43"/>
    </row>
    <row r="267" spans="1:6" x14ac:dyDescent="0.25">
      <c r="A267" s="43"/>
      <c r="B267" s="43"/>
      <c r="C267" s="43"/>
      <c r="D267" s="43"/>
      <c r="E267" s="43"/>
      <c r="F267" s="43"/>
    </row>
    <row r="268" spans="1:6" x14ac:dyDescent="0.25">
      <c r="A268" s="43"/>
      <c r="B268" s="43"/>
      <c r="C268" s="43"/>
      <c r="D268" s="43"/>
      <c r="E268" s="43"/>
      <c r="F268" s="43"/>
    </row>
    <row r="269" spans="1:6" x14ac:dyDescent="0.25">
      <c r="A269" s="43"/>
      <c r="B269" s="43"/>
      <c r="C269" s="43"/>
      <c r="D269" s="43"/>
      <c r="E269" s="43"/>
      <c r="F269" s="43"/>
    </row>
    <row r="270" spans="1:6" x14ac:dyDescent="0.25">
      <c r="A270" s="43"/>
      <c r="B270" s="43"/>
      <c r="C270" s="43"/>
      <c r="D270" s="43"/>
      <c r="E270" s="43"/>
      <c r="F270" s="43"/>
    </row>
    <row r="271" spans="1:6" x14ac:dyDescent="0.25">
      <c r="A271" s="43"/>
      <c r="B271" s="43"/>
      <c r="C271" s="43"/>
      <c r="D271" s="43"/>
      <c r="E271" s="43"/>
      <c r="F271" s="43">
        <v>8</v>
      </c>
    </row>
  </sheetData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119"/>
  <sheetViews>
    <sheetView workbookViewId="0">
      <selection activeCell="F116" sqref="F116"/>
    </sheetView>
  </sheetViews>
  <sheetFormatPr defaultRowHeight="15" x14ac:dyDescent="0.25"/>
  <cols>
    <col min="1" max="1" width="13.7109375" style="12" customWidth="1"/>
    <col min="2" max="2" width="10.5703125" customWidth="1"/>
    <col min="3" max="3" width="5.28515625" customWidth="1"/>
    <col min="4" max="4" width="11.7109375" customWidth="1"/>
    <col min="5" max="5" width="4.7109375" customWidth="1"/>
    <col min="6" max="6" width="12.140625" customWidth="1"/>
    <col min="7" max="7" width="4.5703125" customWidth="1"/>
    <col min="8" max="8" width="11.85546875" customWidth="1"/>
    <col min="9" max="9" width="7.42578125" customWidth="1"/>
    <col min="10" max="10" width="14" customWidth="1"/>
    <col min="11" max="11" width="12.28515625" customWidth="1"/>
    <col min="12" max="12" width="13" customWidth="1"/>
    <col min="13" max="13" width="15.28515625" customWidth="1"/>
    <col min="14" max="14" width="11.85546875" bestFit="1" customWidth="1"/>
    <col min="15" max="15" width="13.140625" customWidth="1"/>
    <col min="16" max="16" width="14.140625" customWidth="1"/>
    <col min="17" max="17" width="12.140625" customWidth="1"/>
    <col min="20" max="20" width="16.140625" customWidth="1"/>
    <col min="21" max="21" width="14.42578125" customWidth="1"/>
  </cols>
  <sheetData>
    <row r="1" spans="1:19" ht="38.25" customHeight="1" x14ac:dyDescent="0.35">
      <c r="A1" s="125" t="s">
        <v>181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S1" t="s">
        <v>0</v>
      </c>
    </row>
    <row r="2" spans="1:19" ht="46.5" customHeight="1" x14ac:dyDescent="0.35">
      <c r="A2" s="125"/>
      <c r="B2" s="126" t="s">
        <v>560</v>
      </c>
      <c r="C2" s="126" t="s">
        <v>561</v>
      </c>
      <c r="D2" s="43"/>
      <c r="E2" s="126" t="s">
        <v>2</v>
      </c>
      <c r="F2" s="43"/>
      <c r="G2" s="126" t="s">
        <v>3</v>
      </c>
      <c r="H2" s="43"/>
      <c r="I2" s="127"/>
      <c r="J2" s="43"/>
      <c r="K2" s="43"/>
      <c r="L2" s="128" t="s">
        <v>43</v>
      </c>
    </row>
    <row r="3" spans="1:19" ht="18" customHeight="1" x14ac:dyDescent="0.35">
      <c r="A3" s="138"/>
      <c r="B3" s="139"/>
      <c r="C3" s="139"/>
      <c r="D3" s="140"/>
      <c r="E3" s="139"/>
      <c r="F3" s="140"/>
      <c r="G3" s="139"/>
      <c r="H3" s="140"/>
      <c r="I3" s="141"/>
      <c r="J3" s="140" t="s">
        <v>602</v>
      </c>
      <c r="K3" s="140"/>
      <c r="L3" s="142"/>
    </row>
    <row r="4" spans="1:19" x14ac:dyDescent="0.25">
      <c r="A4" s="143" t="s">
        <v>5</v>
      </c>
      <c r="B4" s="144">
        <v>0</v>
      </c>
      <c r="C4" s="145">
        <v>0.02</v>
      </c>
      <c r="D4" s="146">
        <f>B4*C4</f>
        <v>0</v>
      </c>
      <c r="E4" s="145">
        <v>0</v>
      </c>
      <c r="F4" s="146">
        <f>B4*E4</f>
        <v>0</v>
      </c>
      <c r="G4" s="145">
        <v>0.05</v>
      </c>
      <c r="H4" s="146">
        <f>B4*G4</f>
        <v>0</v>
      </c>
      <c r="I4" s="147"/>
      <c r="J4" s="144"/>
      <c r="K4" s="146"/>
      <c r="L4" s="148">
        <f>B4+D4+F4+H4</f>
        <v>0</v>
      </c>
    </row>
    <row r="5" spans="1:19" s="3" customFormat="1" x14ac:dyDescent="0.25">
      <c r="A5" s="138" t="s">
        <v>6</v>
      </c>
      <c r="B5" s="149">
        <v>32802</v>
      </c>
      <c r="C5" s="150">
        <v>0.04</v>
      </c>
      <c r="D5" s="151">
        <f>B5*C5</f>
        <v>1312.08</v>
      </c>
      <c r="E5" s="150"/>
      <c r="F5" s="151">
        <f>B5*E5</f>
        <v>0</v>
      </c>
      <c r="G5" s="150"/>
      <c r="H5" s="151">
        <f>B5*G5</f>
        <v>0</v>
      </c>
      <c r="I5" s="152"/>
      <c r="J5" s="156">
        <v>500</v>
      </c>
      <c r="K5" s="151"/>
      <c r="L5" s="154">
        <f>B5+D5+F5+H5+J5</f>
        <v>34614.080000000002</v>
      </c>
    </row>
    <row r="6" spans="1:19" x14ac:dyDescent="0.25">
      <c r="A6" s="143" t="s">
        <v>7</v>
      </c>
      <c r="B6" s="144">
        <v>29266</v>
      </c>
      <c r="C6" s="145">
        <v>0</v>
      </c>
      <c r="D6" s="146">
        <f>B6*C6</f>
        <v>0</v>
      </c>
      <c r="E6" s="145">
        <v>0</v>
      </c>
      <c r="F6" s="146">
        <f>B6*E6</f>
        <v>0</v>
      </c>
      <c r="G6" s="145">
        <v>0.05</v>
      </c>
      <c r="H6" s="146">
        <f>B6*G6</f>
        <v>1463.3000000000002</v>
      </c>
      <c r="I6" s="147"/>
      <c r="J6" s="144">
        <v>500</v>
      </c>
      <c r="K6" s="146"/>
      <c r="L6" s="148">
        <f>B6+D6+F6+H6+J6</f>
        <v>31229.3</v>
      </c>
    </row>
    <row r="7" spans="1:19" x14ac:dyDescent="0.25">
      <c r="A7" s="138" t="s">
        <v>8</v>
      </c>
      <c r="B7" s="156">
        <v>23412</v>
      </c>
      <c r="C7" s="150">
        <v>0</v>
      </c>
      <c r="D7" s="151">
        <f>B7*C7</f>
        <v>0</v>
      </c>
      <c r="E7" s="150">
        <v>0</v>
      </c>
      <c r="F7" s="151">
        <f>B7*E7</f>
        <v>0</v>
      </c>
      <c r="G7" s="150">
        <v>0</v>
      </c>
      <c r="H7" s="151">
        <f>B7*G7</f>
        <v>0</v>
      </c>
      <c r="I7" s="140"/>
      <c r="J7" s="156">
        <v>500</v>
      </c>
      <c r="K7" s="151"/>
      <c r="L7" s="154">
        <f>B7+D7+F7+H7+J7</f>
        <v>23912</v>
      </c>
    </row>
    <row r="8" spans="1:19" x14ac:dyDescent="0.25">
      <c r="A8" s="157"/>
      <c r="B8" s="144">
        <v>6000</v>
      </c>
      <c r="C8" s="147"/>
      <c r="D8" s="147"/>
      <c r="E8" s="147"/>
      <c r="F8" s="147"/>
      <c r="G8" s="147"/>
      <c r="H8" s="147"/>
      <c r="I8" s="147"/>
      <c r="J8" s="147"/>
      <c r="K8" s="147"/>
      <c r="L8" s="148">
        <f>SUM(B8:K8)</f>
        <v>6000</v>
      </c>
      <c r="N8">
        <v>200</v>
      </c>
      <c r="O8">
        <v>300</v>
      </c>
      <c r="Q8" s="38" t="s">
        <v>13</v>
      </c>
      <c r="R8" s="177"/>
      <c r="S8" s="178">
        <v>500</v>
      </c>
    </row>
    <row r="9" spans="1:19" ht="18.75" x14ac:dyDescent="0.3">
      <c r="A9" s="138"/>
      <c r="B9" s="140"/>
      <c r="C9" s="140"/>
      <c r="D9" s="140"/>
      <c r="E9" s="140"/>
      <c r="F9" s="140"/>
      <c r="G9" s="140"/>
      <c r="H9" s="140"/>
      <c r="I9" s="139"/>
      <c r="J9" s="140"/>
      <c r="K9" s="151"/>
      <c r="L9" s="154">
        <f>L4+L5+L6+L7+K9+L11+L8</f>
        <v>95755.38</v>
      </c>
      <c r="M9" t="s">
        <v>568</v>
      </c>
      <c r="N9" s="13">
        <f>L9*0.5</f>
        <v>47877.69</v>
      </c>
      <c r="O9" s="13">
        <f>L9*0.5</f>
        <v>47877.69</v>
      </c>
      <c r="Q9" s="38" t="s">
        <v>14</v>
      </c>
      <c r="R9" s="177"/>
      <c r="S9" s="178"/>
    </row>
    <row r="10" spans="1:19" ht="18.75" x14ac:dyDescent="0.3">
      <c r="A10" s="143"/>
      <c r="B10" s="147"/>
      <c r="C10" s="147"/>
      <c r="D10" s="147"/>
      <c r="E10" s="147"/>
      <c r="F10" s="147"/>
      <c r="G10" s="147"/>
      <c r="H10" s="147"/>
      <c r="I10" s="158"/>
      <c r="J10" s="147"/>
      <c r="K10" s="146"/>
      <c r="L10" s="147"/>
      <c r="Q10" s="38" t="s">
        <v>15</v>
      </c>
      <c r="R10" s="177"/>
      <c r="S10" s="178"/>
    </row>
    <row r="11" spans="1:19" ht="15.75" x14ac:dyDescent="0.25">
      <c r="A11" s="138" t="s">
        <v>12</v>
      </c>
      <c r="B11" s="156">
        <v>22050</v>
      </c>
      <c r="C11" s="140"/>
      <c r="D11" s="159"/>
      <c r="E11" s="140"/>
      <c r="F11" s="159"/>
      <c r="G11" s="140"/>
      <c r="H11" s="140"/>
      <c r="I11" s="140"/>
      <c r="J11" s="140"/>
      <c r="K11" s="140"/>
      <c r="L11" s="160"/>
      <c r="M11" t="s">
        <v>567</v>
      </c>
      <c r="N11" s="416">
        <f>B11*0.5</f>
        <v>11025</v>
      </c>
      <c r="O11" s="416">
        <f>B11*0.5</f>
        <v>11025</v>
      </c>
      <c r="Q11" s="38" t="s">
        <v>5</v>
      </c>
      <c r="R11" s="177"/>
      <c r="S11" s="178"/>
    </row>
    <row r="12" spans="1:19" ht="38.25" customHeight="1" x14ac:dyDescent="0.35">
      <c r="A12" s="125" t="s">
        <v>623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N12" s="258">
        <f>SUM(N9:N11)</f>
        <v>58902.69</v>
      </c>
      <c r="O12" s="258">
        <f>SUM(O9:O11)</f>
        <v>58902.69</v>
      </c>
      <c r="Q12" s="38" t="s">
        <v>6</v>
      </c>
      <c r="R12" s="177"/>
      <c r="S12" s="178">
        <v>500</v>
      </c>
    </row>
    <row r="13" spans="1:19" ht="18.75" customHeight="1" x14ac:dyDescent="0.25">
      <c r="A13" s="138"/>
      <c r="B13" s="208" t="s">
        <v>24</v>
      </c>
      <c r="C13" s="140"/>
      <c r="D13" s="208" t="s">
        <v>22</v>
      </c>
      <c r="E13" s="140"/>
      <c r="F13" s="208" t="s">
        <v>11</v>
      </c>
      <c r="G13" s="140"/>
      <c r="H13" s="140"/>
      <c r="I13" s="140"/>
      <c r="J13" s="140"/>
      <c r="K13" s="140"/>
      <c r="L13" s="140"/>
      <c r="M13" t="s">
        <v>569</v>
      </c>
      <c r="Q13" s="38" t="s">
        <v>7</v>
      </c>
      <c r="R13" s="177"/>
      <c r="S13" s="178">
        <v>500</v>
      </c>
    </row>
    <row r="14" spans="1:19" x14ac:dyDescent="0.25">
      <c r="A14" s="411" t="s">
        <v>5</v>
      </c>
      <c r="B14" s="237"/>
      <c r="C14" s="147"/>
      <c r="D14" s="176"/>
      <c r="E14" s="145"/>
      <c r="F14" s="176"/>
      <c r="G14" s="147"/>
      <c r="H14" s="144"/>
      <c r="I14" s="147"/>
      <c r="J14" s="147"/>
      <c r="K14" s="147"/>
      <c r="L14" s="147"/>
      <c r="M14" s="416">
        <f>F15+F16+F17</f>
        <v>7059.5999999999995</v>
      </c>
      <c r="N14" s="229">
        <f>M14*0.65</f>
        <v>4588.74</v>
      </c>
      <c r="O14" s="418">
        <f>M14*0.35</f>
        <v>2470.8599999999997</v>
      </c>
      <c r="Q14" s="38" t="s">
        <v>8</v>
      </c>
      <c r="R14" s="177"/>
      <c r="S14" s="178">
        <v>500</v>
      </c>
    </row>
    <row r="15" spans="1:19" x14ac:dyDescent="0.25">
      <c r="A15" s="220" t="s">
        <v>6</v>
      </c>
      <c r="B15" s="412">
        <v>120</v>
      </c>
      <c r="C15" s="140"/>
      <c r="D15" s="154">
        <v>27.15</v>
      </c>
      <c r="E15" s="150"/>
      <c r="F15" s="159">
        <f>+D15*B15</f>
        <v>3258</v>
      </c>
      <c r="G15" s="140"/>
      <c r="H15" s="156"/>
      <c r="I15" s="140"/>
      <c r="J15" s="140"/>
      <c r="K15" s="140"/>
      <c r="L15" s="140"/>
      <c r="Q15" s="58" t="s">
        <v>41</v>
      </c>
      <c r="R15" s="177"/>
      <c r="S15" s="148">
        <v>800</v>
      </c>
    </row>
    <row r="16" spans="1:19" x14ac:dyDescent="0.25">
      <c r="A16" s="411" t="s">
        <v>7</v>
      </c>
      <c r="B16" s="237">
        <v>120</v>
      </c>
      <c r="C16" s="147"/>
      <c r="D16" s="148">
        <v>21.12</v>
      </c>
      <c r="E16" s="145"/>
      <c r="F16" s="176">
        <f>D16*B16</f>
        <v>2534.4</v>
      </c>
      <c r="G16" s="147"/>
      <c r="H16" s="144"/>
      <c r="I16" s="147"/>
      <c r="J16" s="147"/>
      <c r="K16" s="147"/>
      <c r="L16" s="147"/>
      <c r="Q16" s="38" t="s">
        <v>545</v>
      </c>
      <c r="R16" s="177"/>
      <c r="S16" s="148">
        <v>800</v>
      </c>
    </row>
    <row r="17" spans="1:22" x14ac:dyDescent="0.25">
      <c r="A17" s="220" t="s">
        <v>8</v>
      </c>
      <c r="B17" s="240">
        <v>60</v>
      </c>
      <c r="C17" s="140"/>
      <c r="D17" s="154">
        <v>21.12</v>
      </c>
      <c r="E17" s="150"/>
      <c r="F17" s="159">
        <f>D17*B17</f>
        <v>1267.2</v>
      </c>
      <c r="G17" s="140"/>
      <c r="H17" s="156"/>
      <c r="I17" s="140"/>
      <c r="J17" s="140"/>
      <c r="K17" s="140"/>
      <c r="L17" s="140"/>
      <c r="Q17" s="38" t="s">
        <v>554</v>
      </c>
      <c r="R17" s="177"/>
      <c r="S17" s="148">
        <v>800</v>
      </c>
    </row>
    <row r="18" spans="1:22" x14ac:dyDescent="0.25">
      <c r="A18" s="411"/>
      <c r="B18" s="144"/>
      <c r="C18" s="147"/>
      <c r="D18" s="148"/>
      <c r="E18" s="145"/>
      <c r="F18" s="176"/>
      <c r="G18" s="147"/>
      <c r="H18" s="147"/>
      <c r="I18" s="147"/>
      <c r="J18" s="147"/>
      <c r="K18" s="147"/>
      <c r="L18" s="147"/>
      <c r="Q18" s="38" t="s">
        <v>555</v>
      </c>
      <c r="R18" s="177"/>
      <c r="S18" s="148">
        <v>800</v>
      </c>
    </row>
    <row r="19" spans="1:22" x14ac:dyDescent="0.25">
      <c r="A19" s="125"/>
      <c r="B19" s="108"/>
      <c r="C19" s="43"/>
      <c r="D19" s="43"/>
      <c r="E19" s="129"/>
      <c r="F19" s="133"/>
      <c r="G19" s="43"/>
      <c r="H19" s="43"/>
      <c r="I19" s="43"/>
      <c r="J19" s="43"/>
      <c r="K19" s="43"/>
      <c r="L19" s="43"/>
      <c r="Q19" s="38" t="s">
        <v>548</v>
      </c>
      <c r="R19" s="177"/>
      <c r="S19" s="148">
        <v>800</v>
      </c>
    </row>
    <row r="20" spans="1:22" x14ac:dyDescent="0.25">
      <c r="A20" s="13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Q20" s="38" t="s">
        <v>556</v>
      </c>
      <c r="R20" s="177"/>
      <c r="S20" s="148">
        <v>800</v>
      </c>
    </row>
    <row r="21" spans="1:22" x14ac:dyDescent="0.25">
      <c r="A21" s="13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Q21" s="38" t="s">
        <v>557</v>
      </c>
      <c r="R21" s="177"/>
      <c r="S21" s="148">
        <v>800</v>
      </c>
    </row>
    <row r="22" spans="1:22" x14ac:dyDescent="0.25">
      <c r="A22" s="13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Q22" s="38" t="s">
        <v>58</v>
      </c>
      <c r="R22" s="177"/>
      <c r="S22" s="178">
        <f>SUM(S21)</f>
        <v>800</v>
      </c>
    </row>
    <row r="23" spans="1:22" x14ac:dyDescent="0.25">
      <c r="A23" s="132"/>
      <c r="B23" s="43"/>
      <c r="C23" s="43"/>
      <c r="D23" s="43"/>
      <c r="E23" s="43"/>
      <c r="F23" s="43"/>
      <c r="G23" s="134"/>
      <c r="H23" s="43"/>
      <c r="I23" s="43"/>
      <c r="J23" s="43"/>
      <c r="K23" s="43"/>
      <c r="L23" s="43"/>
    </row>
    <row r="24" spans="1:22" x14ac:dyDescent="0.25">
      <c r="A24" s="13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22" x14ac:dyDescent="0.25">
      <c r="A25" s="13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1:22" x14ac:dyDescent="0.25">
      <c r="A26" s="13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22" x14ac:dyDescent="0.25">
      <c r="A27" s="13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22" x14ac:dyDescent="0.25">
      <c r="A28" s="13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>
        <v>1</v>
      </c>
    </row>
    <row r="29" spans="1:22" x14ac:dyDescent="0.25">
      <c r="A29" s="13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22" x14ac:dyDescent="0.25">
      <c r="A30" s="13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22" x14ac:dyDescent="0.25">
      <c r="A31" s="13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22" ht="29.25" customHeight="1" x14ac:dyDescent="0.3">
      <c r="A32" s="125" t="s">
        <v>182</v>
      </c>
      <c r="B32" s="135"/>
      <c r="C32" s="135"/>
      <c r="D32" s="135"/>
      <c r="E32" s="43"/>
      <c r="F32" s="43"/>
      <c r="G32" s="43"/>
      <c r="H32" s="43"/>
      <c r="I32" s="43"/>
      <c r="J32" s="43"/>
      <c r="K32" s="43"/>
      <c r="L32" s="43"/>
      <c r="S32" s="248" t="s">
        <v>13</v>
      </c>
      <c r="U32" s="286" t="s">
        <v>577</v>
      </c>
      <c r="V32">
        <v>4411</v>
      </c>
    </row>
    <row r="33" spans="1:22" ht="29.25" customHeight="1" x14ac:dyDescent="0.35">
      <c r="A33" s="143"/>
      <c r="B33" s="158" t="s">
        <v>1</v>
      </c>
      <c r="C33" s="158" t="s">
        <v>44</v>
      </c>
      <c r="D33" s="147"/>
      <c r="E33" s="158" t="s">
        <v>45</v>
      </c>
      <c r="F33" s="147"/>
      <c r="G33" s="158" t="s">
        <v>3</v>
      </c>
      <c r="H33" s="147"/>
      <c r="I33" s="164" t="s">
        <v>46</v>
      </c>
      <c r="J33" s="147"/>
      <c r="K33" s="147"/>
      <c r="L33" s="165" t="s">
        <v>166</v>
      </c>
      <c r="N33">
        <v>200</v>
      </c>
      <c r="O33">
        <v>300</v>
      </c>
      <c r="P33">
        <v>400</v>
      </c>
      <c r="Q33">
        <v>600</v>
      </c>
      <c r="S33" s="248" t="s">
        <v>14</v>
      </c>
      <c r="U33" s="286" t="s">
        <v>578</v>
      </c>
      <c r="V33">
        <v>3331</v>
      </c>
    </row>
    <row r="34" spans="1:22" x14ac:dyDescent="0.25">
      <c r="A34" s="41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t="s">
        <v>588</v>
      </c>
      <c r="N34" s="416">
        <f>L35*0.4</f>
        <v>32340</v>
      </c>
      <c r="O34" s="1">
        <f>L35*0.4</f>
        <v>32340</v>
      </c>
      <c r="P34" s="2">
        <f>L35*0.1</f>
        <v>8085</v>
      </c>
      <c r="Q34" s="2">
        <f>L35*0.1</f>
        <v>8085</v>
      </c>
      <c r="S34" s="248" t="s">
        <v>15</v>
      </c>
      <c r="U34" s="286" t="s">
        <v>579</v>
      </c>
      <c r="V34">
        <v>3313</v>
      </c>
    </row>
    <row r="35" spans="1:22" x14ac:dyDescent="0.25">
      <c r="A35" s="411" t="s">
        <v>13</v>
      </c>
      <c r="B35" s="144">
        <v>77000</v>
      </c>
      <c r="C35" s="145">
        <v>0</v>
      </c>
      <c r="D35" s="144">
        <f>B35*C35</f>
        <v>0</v>
      </c>
      <c r="E35" s="145">
        <v>0</v>
      </c>
      <c r="F35" s="144">
        <f>D35*E35</f>
        <v>0</v>
      </c>
      <c r="G35" s="145">
        <v>0.05</v>
      </c>
      <c r="H35" s="144">
        <f>B35*G35</f>
        <v>3850</v>
      </c>
      <c r="I35" s="237"/>
      <c r="J35" s="146">
        <v>0</v>
      </c>
      <c r="K35" s="146">
        <f>I35*J35</f>
        <v>0</v>
      </c>
      <c r="L35" s="144">
        <f>B35+D35+F35+H35</f>
        <v>80850</v>
      </c>
      <c r="M35" t="s">
        <v>589</v>
      </c>
      <c r="N35" s="416">
        <f>L36*0.3</f>
        <v>15600</v>
      </c>
      <c r="O35" s="416">
        <f>L36*0.3</f>
        <v>15600</v>
      </c>
      <c r="P35" s="416">
        <f>L36*0.3</f>
        <v>15600</v>
      </c>
      <c r="Q35" s="416">
        <f>L36*0.1</f>
        <v>5200</v>
      </c>
      <c r="S35" s="248" t="s">
        <v>5</v>
      </c>
      <c r="U35" s="286"/>
      <c r="V35">
        <v>23</v>
      </c>
    </row>
    <row r="36" spans="1:22" x14ac:dyDescent="0.25">
      <c r="A36" s="220" t="s">
        <v>14</v>
      </c>
      <c r="B36" s="156">
        <v>52000</v>
      </c>
      <c r="C36" s="150">
        <v>0</v>
      </c>
      <c r="D36" s="156">
        <f>B36*C36</f>
        <v>0</v>
      </c>
      <c r="E36" s="150">
        <v>0</v>
      </c>
      <c r="F36" s="156">
        <f>D36*E36</f>
        <v>0</v>
      </c>
      <c r="G36" s="150">
        <v>0</v>
      </c>
      <c r="H36" s="156">
        <f>F36*G36</f>
        <v>0</v>
      </c>
      <c r="I36" s="412">
        <v>0</v>
      </c>
      <c r="J36" s="153">
        <v>0</v>
      </c>
      <c r="K36" s="151">
        <f>I36*J36</f>
        <v>0</v>
      </c>
      <c r="L36" s="156">
        <f>B36+D36+F36+H36</f>
        <v>52000</v>
      </c>
      <c r="M36" t="s">
        <v>590</v>
      </c>
      <c r="N36" s="416">
        <f>L37*0.3</f>
        <v>11265.84</v>
      </c>
      <c r="O36" s="416">
        <f>L37*0.3</f>
        <v>11265.84</v>
      </c>
      <c r="P36" s="416">
        <f>L37*0.1</f>
        <v>3755.2800000000007</v>
      </c>
      <c r="Q36" s="416">
        <f>L37*0.1</f>
        <v>3755.2800000000007</v>
      </c>
      <c r="S36" s="248" t="s">
        <v>6</v>
      </c>
      <c r="U36" s="286" t="s">
        <v>580</v>
      </c>
      <c r="V36">
        <v>23</v>
      </c>
    </row>
    <row r="37" spans="1:22" x14ac:dyDescent="0.25">
      <c r="A37" s="411" t="s">
        <v>15</v>
      </c>
      <c r="B37" s="174">
        <v>35006</v>
      </c>
      <c r="C37" s="145">
        <v>0</v>
      </c>
      <c r="D37" s="144">
        <f>B37*C37</f>
        <v>0</v>
      </c>
      <c r="E37" s="145">
        <v>0.05</v>
      </c>
      <c r="F37" s="144">
        <f>B37*E37</f>
        <v>1750.3000000000002</v>
      </c>
      <c r="G37" s="145">
        <v>0</v>
      </c>
      <c r="H37" s="144">
        <f>F37*G37</f>
        <v>0</v>
      </c>
      <c r="I37" s="237">
        <v>30</v>
      </c>
      <c r="J37" s="146">
        <v>26.55</v>
      </c>
      <c r="K37" s="146">
        <f>I37*J37</f>
        <v>796.5</v>
      </c>
      <c r="L37" s="144">
        <f>B37+D37+F37+H37+K37</f>
        <v>37552.800000000003</v>
      </c>
      <c r="M37" s="225" t="s">
        <v>11</v>
      </c>
      <c r="N37" s="418">
        <f>SUM(N34:N36)</f>
        <v>59205.84</v>
      </c>
      <c r="O37" s="466">
        <f>SUM(O34:O36)</f>
        <v>59205.84</v>
      </c>
      <c r="P37" s="229">
        <f>SUM(P34:P36)</f>
        <v>27440.28</v>
      </c>
      <c r="Q37" s="229">
        <f>SUM(Q34:Q36)</f>
        <v>17040.28</v>
      </c>
      <c r="S37" s="248" t="s">
        <v>7</v>
      </c>
      <c r="U37" s="286" t="s">
        <v>581</v>
      </c>
    </row>
    <row r="38" spans="1:22" x14ac:dyDescent="0.25">
      <c r="A38" s="138"/>
      <c r="B38" s="162"/>
      <c r="C38" s="150"/>
      <c r="D38" s="156"/>
      <c r="E38" s="150"/>
      <c r="F38" s="156"/>
      <c r="G38" s="150"/>
      <c r="H38" s="156"/>
      <c r="I38" s="240"/>
      <c r="J38" s="153"/>
      <c r="K38" s="151"/>
      <c r="L38" s="156"/>
      <c r="N38">
        <v>200</v>
      </c>
      <c r="O38">
        <v>300</v>
      </c>
      <c r="P38">
        <v>400</v>
      </c>
      <c r="Q38">
        <v>600</v>
      </c>
      <c r="S38" s="248" t="s">
        <v>8</v>
      </c>
      <c r="U38" s="286" t="s">
        <v>582</v>
      </c>
    </row>
    <row r="39" spans="1:22" x14ac:dyDescent="0.25">
      <c r="A39" s="143"/>
      <c r="B39" s="147" t="s">
        <v>164</v>
      </c>
      <c r="C39" s="145"/>
      <c r="D39" s="144"/>
      <c r="E39" s="145"/>
      <c r="F39" s="144"/>
      <c r="G39" s="145"/>
      <c r="H39" s="144"/>
      <c r="I39" s="147"/>
      <c r="J39" s="147"/>
      <c r="K39" s="147"/>
      <c r="L39" s="144"/>
      <c r="M39" t="s">
        <v>569</v>
      </c>
      <c r="S39" s="248" t="s">
        <v>41</v>
      </c>
      <c r="U39" s="286" t="s">
        <v>583</v>
      </c>
      <c r="V39">
        <v>4</v>
      </c>
    </row>
    <row r="40" spans="1:22" x14ac:dyDescent="0.25">
      <c r="A40" s="138"/>
      <c r="B40" s="140"/>
      <c r="C40" s="150"/>
      <c r="D40" s="156"/>
      <c r="E40" s="150"/>
      <c r="F40" s="156"/>
      <c r="G40" s="150"/>
      <c r="H40" s="156"/>
      <c r="I40" s="140"/>
      <c r="J40" s="140"/>
      <c r="K40" s="151"/>
      <c r="L40" s="163"/>
      <c r="M40" t="s">
        <v>591</v>
      </c>
      <c r="N40" s="258">
        <f>F46*0.3</f>
        <v>238.95</v>
      </c>
      <c r="O40" s="258">
        <f>F46*0.3</f>
        <v>238.95</v>
      </c>
      <c r="P40" s="258">
        <f>F46*0.1</f>
        <v>79.650000000000006</v>
      </c>
      <c r="Q40" s="258">
        <f>F46*0.3</f>
        <v>238.95</v>
      </c>
      <c r="S40" s="248" t="s">
        <v>205</v>
      </c>
      <c r="U40" s="286" t="s">
        <v>584</v>
      </c>
      <c r="V40">
        <v>4</v>
      </c>
    </row>
    <row r="41" spans="1:22" ht="15.75" x14ac:dyDescent="0.25">
      <c r="A41" s="125"/>
      <c r="B41" s="43"/>
      <c r="C41" s="129"/>
      <c r="D41" s="108"/>
      <c r="E41" s="129"/>
      <c r="F41" s="108"/>
      <c r="G41" s="129"/>
      <c r="H41" s="108"/>
      <c r="I41" s="43"/>
      <c r="J41" s="43"/>
      <c r="K41" s="43"/>
      <c r="L41" s="136"/>
      <c r="S41" s="248" t="s">
        <v>206</v>
      </c>
      <c r="U41" s="286" t="s">
        <v>585</v>
      </c>
      <c r="V41">
        <v>4</v>
      </c>
    </row>
    <row r="42" spans="1:22" ht="18.75" x14ac:dyDescent="0.3">
      <c r="A42" s="125"/>
      <c r="B42" s="43"/>
      <c r="C42" s="129"/>
      <c r="D42" s="108"/>
      <c r="E42" s="464" t="s">
        <v>597</v>
      </c>
      <c r="F42" s="108"/>
      <c r="G42" s="129"/>
      <c r="H42" s="108"/>
      <c r="I42" s="43"/>
      <c r="J42" s="43"/>
      <c r="K42" s="43"/>
      <c r="L42" s="43"/>
      <c r="M42" s="1"/>
      <c r="S42" s="248" t="s">
        <v>207</v>
      </c>
      <c r="U42" s="286" t="s">
        <v>586</v>
      </c>
      <c r="V42">
        <v>4</v>
      </c>
    </row>
    <row r="43" spans="1:22" ht="24" customHeight="1" x14ac:dyDescent="0.25">
      <c r="A43" s="465"/>
      <c r="B43" s="126" t="s">
        <v>24</v>
      </c>
      <c r="C43" s="43"/>
      <c r="D43" s="126" t="s">
        <v>22</v>
      </c>
      <c r="E43" s="43"/>
      <c r="F43" s="126" t="s">
        <v>11</v>
      </c>
      <c r="G43" s="43"/>
      <c r="H43" s="82"/>
      <c r="I43" s="43"/>
      <c r="J43" s="82"/>
      <c r="K43" s="43"/>
      <c r="L43" s="43"/>
      <c r="S43" s="248" t="s">
        <v>599</v>
      </c>
      <c r="U43" s="286" t="s">
        <v>600</v>
      </c>
      <c r="V43">
        <v>6</v>
      </c>
    </row>
    <row r="44" spans="1:22" x14ac:dyDescent="0.25">
      <c r="A44" s="220" t="s">
        <v>13</v>
      </c>
      <c r="B44" s="240">
        <v>0</v>
      </c>
      <c r="C44" s="150"/>
      <c r="D44" s="154">
        <v>0</v>
      </c>
      <c r="E44" s="150"/>
      <c r="F44" s="154">
        <v>0</v>
      </c>
      <c r="G44" s="150"/>
      <c r="H44" s="154"/>
      <c r="I44" s="150"/>
      <c r="J44" s="154"/>
      <c r="K44" s="140"/>
      <c r="L44" s="140"/>
      <c r="S44" s="248" t="s">
        <v>209</v>
      </c>
      <c r="U44" s="286" t="s">
        <v>587</v>
      </c>
      <c r="V44">
        <v>6</v>
      </c>
    </row>
    <row r="45" spans="1:22" x14ac:dyDescent="0.25">
      <c r="A45" s="411" t="s">
        <v>14</v>
      </c>
      <c r="B45" s="237">
        <v>0</v>
      </c>
      <c r="C45" s="145"/>
      <c r="D45" s="148"/>
      <c r="E45" s="145"/>
      <c r="F45" s="148"/>
      <c r="G45" s="145"/>
      <c r="H45" s="148"/>
      <c r="I45" s="145"/>
      <c r="J45" s="148"/>
      <c r="K45" s="147"/>
      <c r="L45" s="147"/>
      <c r="S45" s="248" t="s">
        <v>210</v>
      </c>
      <c r="U45" s="286" t="s">
        <v>570</v>
      </c>
      <c r="V45">
        <v>6</v>
      </c>
    </row>
    <row r="46" spans="1:22" x14ac:dyDescent="0.25">
      <c r="A46" s="220" t="s">
        <v>15</v>
      </c>
      <c r="B46" s="240">
        <v>30</v>
      </c>
      <c r="C46" s="150"/>
      <c r="D46" s="154">
        <v>26.55</v>
      </c>
      <c r="E46" s="150"/>
      <c r="F46" s="154">
        <f>B46*D46</f>
        <v>796.5</v>
      </c>
      <c r="G46" s="150"/>
      <c r="H46" s="154"/>
      <c r="I46" s="150"/>
      <c r="J46" s="154"/>
      <c r="K46" s="140"/>
      <c r="L46" s="140"/>
      <c r="S46" s="248" t="s">
        <v>230</v>
      </c>
      <c r="U46" s="286"/>
    </row>
    <row r="47" spans="1:22" x14ac:dyDescent="0.25">
      <c r="A47" s="125"/>
      <c r="B47" s="417"/>
      <c r="C47" s="129"/>
      <c r="D47" s="43"/>
      <c r="E47" s="129"/>
      <c r="F47" s="43"/>
      <c r="G47" s="129"/>
      <c r="H47" s="43"/>
      <c r="I47" s="129"/>
      <c r="J47" s="43"/>
      <c r="K47" s="43"/>
      <c r="L47" s="43"/>
      <c r="S47" s="248" t="s">
        <v>536</v>
      </c>
      <c r="U47" s="286" t="s">
        <v>571</v>
      </c>
      <c r="V47">
        <v>23</v>
      </c>
    </row>
    <row r="48" spans="1:22" x14ac:dyDescent="0.25">
      <c r="A48" s="125"/>
      <c r="B48" s="43"/>
      <c r="C48" s="43"/>
      <c r="D48" s="43" t="s">
        <v>18</v>
      </c>
      <c r="E48" s="43"/>
      <c r="F48" s="43"/>
      <c r="G48" s="43"/>
      <c r="H48" s="43"/>
      <c r="I48" s="43"/>
      <c r="J48" s="43"/>
      <c r="K48" s="43"/>
      <c r="L48" s="43"/>
      <c r="S48" s="248" t="s">
        <v>537</v>
      </c>
      <c r="U48" s="286" t="s">
        <v>572</v>
      </c>
      <c r="V48">
        <v>4</v>
      </c>
    </row>
    <row r="49" spans="1:22" x14ac:dyDescent="0.25">
      <c r="A49" s="125"/>
      <c r="B49" s="43"/>
      <c r="C49" s="147"/>
      <c r="D49" s="43"/>
      <c r="E49" s="43"/>
      <c r="F49" s="43"/>
      <c r="G49" s="43"/>
      <c r="H49" s="43"/>
      <c r="I49" s="43"/>
      <c r="J49" s="43"/>
      <c r="K49" s="43"/>
      <c r="L49" s="43"/>
      <c r="S49" s="248" t="s">
        <v>538</v>
      </c>
      <c r="U49" s="286" t="s">
        <v>573</v>
      </c>
      <c r="V49">
        <v>23</v>
      </c>
    </row>
    <row r="50" spans="1:22" x14ac:dyDescent="0.25">
      <c r="A50" s="125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S50" s="248" t="s">
        <v>539</v>
      </c>
      <c r="U50" s="286" t="s">
        <v>574</v>
      </c>
      <c r="V50">
        <v>23</v>
      </c>
    </row>
    <row r="51" spans="1:22" x14ac:dyDescent="0.25">
      <c r="A51" s="125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S51" s="248" t="s">
        <v>540</v>
      </c>
      <c r="U51" s="286" t="s">
        <v>575</v>
      </c>
      <c r="V51">
        <v>6</v>
      </c>
    </row>
    <row r="52" spans="1:22" x14ac:dyDescent="0.25">
      <c r="A52" s="125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S52" s="248" t="s">
        <v>541</v>
      </c>
      <c r="U52" s="286" t="s">
        <v>576</v>
      </c>
      <c r="V52">
        <v>4</v>
      </c>
    </row>
    <row r="53" spans="1:22" x14ac:dyDescent="0.25">
      <c r="A53" s="13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1:22" x14ac:dyDescent="0.25">
      <c r="A54" s="132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22" x14ac:dyDescent="0.25">
      <c r="A55" s="13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1:22" x14ac:dyDescent="0.25">
      <c r="A56" s="13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22" x14ac:dyDescent="0.25">
      <c r="A57" s="13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22" x14ac:dyDescent="0.25">
      <c r="A58" s="13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</row>
    <row r="59" spans="1:22" ht="16.5" customHeight="1" x14ac:dyDescent="0.25">
      <c r="A59" s="13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>
        <v>2</v>
      </c>
      <c r="S59" s="248" t="s">
        <v>13</v>
      </c>
      <c r="U59" s="286" t="s">
        <v>577</v>
      </c>
      <c r="V59">
        <v>4411</v>
      </c>
    </row>
    <row r="60" spans="1:22" x14ac:dyDescent="0.25">
      <c r="A60" s="13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S60" s="248" t="s">
        <v>14</v>
      </c>
      <c r="U60" s="286" t="s">
        <v>578</v>
      </c>
      <c r="V60">
        <v>3331</v>
      </c>
    </row>
    <row r="61" spans="1:22" x14ac:dyDescent="0.25">
      <c r="A61" s="13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S61" s="248" t="s">
        <v>15</v>
      </c>
      <c r="U61" s="286" t="s">
        <v>579</v>
      </c>
      <c r="V61">
        <v>3313</v>
      </c>
    </row>
    <row r="62" spans="1:22" ht="21" x14ac:dyDescent="0.35">
      <c r="A62" s="439" t="s">
        <v>183</v>
      </c>
      <c r="B62" s="440"/>
      <c r="C62" s="440"/>
      <c r="D62" s="440"/>
      <c r="E62" s="312"/>
      <c r="F62" s="312"/>
      <c r="G62" s="312"/>
      <c r="H62" s="312"/>
      <c r="I62" s="441"/>
      <c r="J62" s="312"/>
      <c r="K62" s="312"/>
      <c r="L62" s="312"/>
      <c r="S62" s="248" t="s">
        <v>5</v>
      </c>
      <c r="U62" s="286"/>
      <c r="V62">
        <v>23</v>
      </c>
    </row>
    <row r="63" spans="1:22" ht="23.25" customHeight="1" x14ac:dyDescent="0.35">
      <c r="A63" s="458"/>
      <c r="B63" s="459" t="s">
        <v>1</v>
      </c>
      <c r="C63" s="460" t="s">
        <v>49</v>
      </c>
      <c r="D63" s="461"/>
      <c r="E63" s="460" t="s">
        <v>48</v>
      </c>
      <c r="F63" s="461"/>
      <c r="G63" s="460" t="s">
        <v>3</v>
      </c>
      <c r="H63" s="461"/>
      <c r="I63" s="462"/>
      <c r="J63" s="462" t="s">
        <v>544</v>
      </c>
      <c r="K63" s="462" t="s">
        <v>602</v>
      </c>
      <c r="L63" s="463" t="s">
        <v>47</v>
      </c>
      <c r="O63" s="427" t="s">
        <v>532</v>
      </c>
      <c r="S63" s="248" t="s">
        <v>6</v>
      </c>
      <c r="U63" s="286" t="s">
        <v>580</v>
      </c>
      <c r="V63">
        <v>23</v>
      </c>
    </row>
    <row r="64" spans="1:22" x14ac:dyDescent="0.25">
      <c r="A64" s="442"/>
      <c r="B64" s="423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O64" s="413">
        <v>400</v>
      </c>
      <c r="S64" s="248" t="s">
        <v>7</v>
      </c>
      <c r="U64" s="286" t="s">
        <v>581</v>
      </c>
    </row>
    <row r="65" spans="1:23" x14ac:dyDescent="0.25">
      <c r="A65" s="220" t="s">
        <v>19</v>
      </c>
      <c r="B65" s="156">
        <v>25000</v>
      </c>
      <c r="C65" s="150">
        <v>0</v>
      </c>
      <c r="D65" s="156">
        <f>B65*C65</f>
        <v>0</v>
      </c>
      <c r="E65" s="150">
        <v>0</v>
      </c>
      <c r="F65" s="151">
        <f>B65*E65</f>
        <v>0</v>
      </c>
      <c r="G65" s="150">
        <v>0</v>
      </c>
      <c r="H65" s="156">
        <f>B65*G65</f>
        <v>0</v>
      </c>
      <c r="I65" s="140"/>
      <c r="J65" s="151"/>
      <c r="K65" s="151">
        <v>800</v>
      </c>
      <c r="L65" s="151">
        <f>B65+D65+F65+H65+K65</f>
        <v>25800</v>
      </c>
      <c r="M65" s="425"/>
      <c r="O65" s="229">
        <f>L65+L66+L67+L68</f>
        <v>260655.69999999998</v>
      </c>
      <c r="P65" s="2"/>
      <c r="S65" s="248" t="s">
        <v>8</v>
      </c>
      <c r="U65" s="286" t="s">
        <v>582</v>
      </c>
    </row>
    <row r="66" spans="1:23" x14ac:dyDescent="0.25">
      <c r="A66" s="411" t="s">
        <v>563</v>
      </c>
      <c r="B66" s="144">
        <v>92000</v>
      </c>
      <c r="C66" s="145">
        <v>0</v>
      </c>
      <c r="D66" s="144">
        <f>B66*C66</f>
        <v>0</v>
      </c>
      <c r="E66" s="145">
        <v>0.05</v>
      </c>
      <c r="F66" s="146">
        <f>B66*E66</f>
        <v>4600</v>
      </c>
      <c r="G66" s="145"/>
      <c r="H66" s="144">
        <f>B66*G66</f>
        <v>0</v>
      </c>
      <c r="I66" s="147"/>
      <c r="J66" s="146">
        <v>6750.48</v>
      </c>
      <c r="K66" s="146">
        <v>800</v>
      </c>
      <c r="L66" s="146">
        <f>B66+D66+F66+H66+J66+K66</f>
        <v>104150.48</v>
      </c>
      <c r="M66" s="425"/>
      <c r="P66" s="2"/>
      <c r="Q66" s="25"/>
      <c r="R66" s="25"/>
      <c r="S66" s="248" t="s">
        <v>41</v>
      </c>
      <c r="U66" s="286" t="s">
        <v>583</v>
      </c>
      <c r="V66">
        <v>4</v>
      </c>
      <c r="W66" s="25"/>
    </row>
    <row r="67" spans="1:23" x14ac:dyDescent="0.25">
      <c r="A67" s="415" t="s">
        <v>172</v>
      </c>
      <c r="B67" s="156">
        <v>62407</v>
      </c>
      <c r="C67" s="150"/>
      <c r="D67" s="156">
        <f>B67*C67</f>
        <v>0</v>
      </c>
      <c r="E67" s="150">
        <v>0.02</v>
      </c>
      <c r="F67" s="151">
        <f>D67*E67</f>
        <v>0</v>
      </c>
      <c r="G67" s="150"/>
      <c r="H67" s="156">
        <f>B67*G67</f>
        <v>0</v>
      </c>
      <c r="I67" s="140"/>
      <c r="J67" s="151">
        <v>4752</v>
      </c>
      <c r="K67" s="151">
        <v>800</v>
      </c>
      <c r="L67" s="151">
        <f>B67+D67+F67+H67+J67+K67</f>
        <v>67959</v>
      </c>
      <c r="M67" s="426"/>
      <c r="P67" s="2"/>
      <c r="Q67" s="25"/>
      <c r="R67" s="25"/>
      <c r="S67" s="248" t="s">
        <v>205</v>
      </c>
      <c r="U67" s="286" t="s">
        <v>584</v>
      </c>
      <c r="V67">
        <v>4</v>
      </c>
      <c r="W67" s="25"/>
    </row>
    <row r="68" spans="1:23" x14ac:dyDescent="0.25">
      <c r="A68" s="414" t="s">
        <v>173</v>
      </c>
      <c r="B68" s="144">
        <v>55842</v>
      </c>
      <c r="C68" s="145"/>
      <c r="D68" s="144">
        <f>B68*C68</f>
        <v>0</v>
      </c>
      <c r="E68" s="145">
        <v>0.02</v>
      </c>
      <c r="F68" s="146">
        <f>D68*E68</f>
        <v>0</v>
      </c>
      <c r="G68" s="145">
        <v>0.03</v>
      </c>
      <c r="H68" s="144">
        <f>B68*G68</f>
        <v>1675.26</v>
      </c>
      <c r="I68" s="147"/>
      <c r="J68" s="146">
        <v>4428.96</v>
      </c>
      <c r="K68" s="146">
        <v>800</v>
      </c>
      <c r="L68" s="146">
        <f>B68+D68+F68+H68+J68+K68</f>
        <v>62746.22</v>
      </c>
      <c r="M68" s="426"/>
      <c r="P68" s="2"/>
      <c r="Q68" s="25"/>
      <c r="R68" s="25"/>
      <c r="S68" s="248" t="s">
        <v>206</v>
      </c>
      <c r="U68" s="286" t="s">
        <v>585</v>
      </c>
      <c r="V68">
        <v>4</v>
      </c>
      <c r="W68" s="25"/>
    </row>
    <row r="69" spans="1:23" ht="22.5" customHeight="1" x14ac:dyDescent="0.25">
      <c r="A69" s="445"/>
      <c r="B69" s="446"/>
      <c r="C69" s="447" t="s">
        <v>596</v>
      </c>
      <c r="D69" s="391"/>
      <c r="E69" s="448"/>
      <c r="F69" s="449"/>
      <c r="G69" s="450"/>
      <c r="H69" s="451"/>
      <c r="I69" s="448"/>
      <c r="J69" s="449"/>
      <c r="K69" s="449"/>
      <c r="L69" s="452"/>
      <c r="P69" s="2"/>
      <c r="Q69" s="25"/>
      <c r="R69" s="25"/>
      <c r="S69" s="248" t="s">
        <v>207</v>
      </c>
      <c r="U69" s="286" t="s">
        <v>586</v>
      </c>
      <c r="V69">
        <v>4</v>
      </c>
      <c r="W69" s="25"/>
    </row>
    <row r="70" spans="1:23" x14ac:dyDescent="0.25">
      <c r="A70" s="132"/>
      <c r="B70" s="43"/>
      <c r="C70" s="147" t="s">
        <v>24</v>
      </c>
      <c r="D70" s="147" t="s">
        <v>22</v>
      </c>
      <c r="E70" s="147"/>
      <c r="F70" s="146"/>
      <c r="G70" s="145"/>
      <c r="H70" s="144"/>
      <c r="I70" s="147"/>
      <c r="J70" s="146"/>
      <c r="K70" s="146"/>
      <c r="L70" s="146"/>
      <c r="P70" s="2"/>
      <c r="Q70" s="25"/>
      <c r="R70" s="25"/>
      <c r="S70" s="248" t="s">
        <v>599</v>
      </c>
      <c r="U70" s="286" t="s">
        <v>600</v>
      </c>
      <c r="V70">
        <v>6</v>
      </c>
      <c r="W70" s="25"/>
    </row>
    <row r="71" spans="1:23" x14ac:dyDescent="0.25">
      <c r="A71" s="138" t="s">
        <v>19</v>
      </c>
      <c r="B71" s="156"/>
      <c r="C71" s="140"/>
      <c r="D71" s="151"/>
      <c r="E71" s="151"/>
      <c r="F71" s="151"/>
      <c r="G71" s="150"/>
      <c r="H71" s="156"/>
      <c r="I71" s="140"/>
      <c r="J71" s="140"/>
      <c r="K71" s="156"/>
      <c r="L71" s="156"/>
      <c r="P71" s="2"/>
      <c r="Q71" s="25"/>
      <c r="R71" s="25"/>
      <c r="S71" s="248" t="s">
        <v>209</v>
      </c>
      <c r="U71" s="286" t="s">
        <v>587</v>
      </c>
      <c r="V71">
        <v>6</v>
      </c>
      <c r="W71" s="25"/>
    </row>
    <row r="72" spans="1:23" x14ac:dyDescent="0.25">
      <c r="A72" s="143" t="s">
        <v>593</v>
      </c>
      <c r="B72" s="144"/>
      <c r="C72" s="147">
        <v>48</v>
      </c>
      <c r="D72" s="146">
        <v>45.36</v>
      </c>
      <c r="E72" s="146"/>
      <c r="F72" s="146">
        <f>C72*D72</f>
        <v>2177.2799999999997</v>
      </c>
      <c r="G72" s="145"/>
      <c r="H72" s="144"/>
      <c r="I72" s="147"/>
      <c r="J72" s="147"/>
      <c r="K72" s="146"/>
      <c r="L72" s="424"/>
      <c r="O72" s="427" t="s">
        <v>562</v>
      </c>
      <c r="P72" s="2"/>
      <c r="Q72" s="25"/>
      <c r="R72" s="25"/>
      <c r="S72" s="248" t="s">
        <v>210</v>
      </c>
      <c r="U72" s="286" t="s">
        <v>570</v>
      </c>
      <c r="V72">
        <v>6</v>
      </c>
      <c r="W72" s="25"/>
    </row>
    <row r="73" spans="1:23" x14ac:dyDescent="0.25">
      <c r="A73" s="167" t="s">
        <v>594</v>
      </c>
      <c r="B73" s="156"/>
      <c r="C73" s="140">
        <v>488</v>
      </c>
      <c r="D73" s="151">
        <v>28.35</v>
      </c>
      <c r="E73" s="151"/>
      <c r="F73" s="151">
        <f>D73*C73</f>
        <v>13834.800000000001</v>
      </c>
      <c r="G73" s="150"/>
      <c r="H73" s="156"/>
      <c r="I73" s="140"/>
      <c r="J73" s="140"/>
      <c r="K73" s="151"/>
      <c r="L73" s="151"/>
      <c r="M73" s="413"/>
      <c r="O73" s="413">
        <v>400</v>
      </c>
      <c r="P73" s="2"/>
      <c r="Q73" s="25"/>
      <c r="R73" s="25"/>
      <c r="S73" s="248" t="s">
        <v>230</v>
      </c>
      <c r="U73" s="286"/>
      <c r="W73" s="25"/>
    </row>
    <row r="74" spans="1:23" x14ac:dyDescent="0.25">
      <c r="A74" s="168" t="s">
        <v>595</v>
      </c>
      <c r="B74" s="144"/>
      <c r="C74" s="147">
        <v>488</v>
      </c>
      <c r="D74" s="146">
        <v>25.38</v>
      </c>
      <c r="E74" s="146"/>
      <c r="F74" s="146">
        <f>D74*C74</f>
        <v>12385.439999999999</v>
      </c>
      <c r="G74" s="145"/>
      <c r="H74" s="144"/>
      <c r="I74" s="147"/>
      <c r="J74" s="147"/>
      <c r="K74" s="146"/>
      <c r="L74" s="146"/>
      <c r="M74" s="2"/>
      <c r="O74" s="229">
        <f>+J78+F74+F73+F72</f>
        <v>107387.52</v>
      </c>
      <c r="P74" s="2"/>
      <c r="Q74" s="25"/>
      <c r="R74" s="25"/>
      <c r="S74" s="248" t="s">
        <v>536</v>
      </c>
      <c r="U74" s="286" t="s">
        <v>571</v>
      </c>
      <c r="V74">
        <v>23</v>
      </c>
      <c r="W74" s="25"/>
    </row>
    <row r="75" spans="1:23" x14ac:dyDescent="0.25">
      <c r="A75" s="445"/>
      <c r="B75" s="446"/>
      <c r="C75" s="453"/>
      <c r="D75" s="454"/>
      <c r="E75" s="454"/>
      <c r="F75" s="454"/>
      <c r="G75" s="455"/>
      <c r="H75" s="446"/>
      <c r="I75" s="453"/>
      <c r="J75" s="453"/>
      <c r="K75" s="454"/>
      <c r="L75" s="456"/>
      <c r="P75" s="2"/>
      <c r="Q75" s="25"/>
      <c r="R75" s="25"/>
      <c r="S75" s="248" t="s">
        <v>537</v>
      </c>
      <c r="U75" s="286" t="s">
        <v>572</v>
      </c>
      <c r="V75">
        <v>4</v>
      </c>
      <c r="W75" s="25"/>
    </row>
    <row r="76" spans="1:23" ht="15" customHeight="1" x14ac:dyDescent="0.25">
      <c r="A76" s="443" t="s">
        <v>396</v>
      </c>
      <c r="B76" s="435" t="s">
        <v>106</v>
      </c>
      <c r="C76" s="436"/>
      <c r="D76" s="436" t="s">
        <v>106</v>
      </c>
      <c r="E76" s="438" t="s">
        <v>46</v>
      </c>
      <c r="F76" s="437"/>
      <c r="G76" s="436"/>
      <c r="H76" s="436"/>
      <c r="I76" s="436"/>
      <c r="J76" s="436"/>
      <c r="K76" s="436"/>
      <c r="L76" s="423"/>
      <c r="Q76" s="25"/>
      <c r="R76" s="25"/>
      <c r="S76" s="248" t="s">
        <v>538</v>
      </c>
      <c r="U76" s="286" t="s">
        <v>573</v>
      </c>
      <c r="V76">
        <v>23</v>
      </c>
      <c r="W76" s="25"/>
    </row>
    <row r="77" spans="1:23" x14ac:dyDescent="0.25">
      <c r="A77" s="457"/>
      <c r="B77" s="140" t="s">
        <v>22</v>
      </c>
      <c r="C77" s="140" t="s">
        <v>24</v>
      </c>
      <c r="D77" s="140"/>
      <c r="E77" s="140" t="s">
        <v>25</v>
      </c>
      <c r="F77" s="140" t="s">
        <v>22</v>
      </c>
      <c r="G77" s="140"/>
      <c r="H77" s="140" t="s">
        <v>165</v>
      </c>
      <c r="I77" s="140"/>
      <c r="J77" s="140" t="s">
        <v>4</v>
      </c>
      <c r="K77" s="140"/>
      <c r="L77" s="140"/>
      <c r="Q77" s="25"/>
      <c r="R77" s="25"/>
      <c r="S77" s="248" t="s">
        <v>539</v>
      </c>
      <c r="U77" s="286" t="s">
        <v>574</v>
      </c>
      <c r="V77">
        <v>23</v>
      </c>
      <c r="W77" s="25"/>
    </row>
    <row r="78" spans="1:23" x14ac:dyDescent="0.25">
      <c r="A78" s="168" t="s">
        <v>21</v>
      </c>
      <c r="B78" s="146">
        <v>15</v>
      </c>
      <c r="C78" s="147">
        <v>4167</v>
      </c>
      <c r="D78" s="170">
        <f>C78*B78</f>
        <v>62505</v>
      </c>
      <c r="E78" s="147">
        <v>785</v>
      </c>
      <c r="F78" s="146">
        <v>21</v>
      </c>
      <c r="G78" s="147"/>
      <c r="H78" s="146">
        <f>E78*F78</f>
        <v>16485</v>
      </c>
      <c r="I78" s="147"/>
      <c r="J78" s="146">
        <f>D78+H78</f>
        <v>78990</v>
      </c>
      <c r="K78" s="147"/>
      <c r="L78" s="147"/>
      <c r="Q78" s="25"/>
      <c r="R78" s="25"/>
      <c r="S78" s="248" t="s">
        <v>540</v>
      </c>
      <c r="U78" s="286" t="s">
        <v>575</v>
      </c>
      <c r="V78">
        <v>6</v>
      </c>
      <c r="W78" s="25"/>
    </row>
    <row r="79" spans="1:23" ht="16.5" customHeight="1" x14ac:dyDescent="0.25">
      <c r="A79" s="16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Q79" s="25"/>
      <c r="R79" s="25"/>
      <c r="S79" s="248" t="s">
        <v>541</v>
      </c>
      <c r="U79" s="286" t="s">
        <v>576</v>
      </c>
      <c r="V79">
        <v>4</v>
      </c>
      <c r="W79" s="25"/>
    </row>
    <row r="80" spans="1:23" ht="16.5" customHeight="1" x14ac:dyDescent="0.25">
      <c r="A80" s="157"/>
      <c r="B80" s="147"/>
      <c r="C80" s="147"/>
      <c r="D80" s="147"/>
      <c r="E80" s="147"/>
      <c r="F80" s="147"/>
      <c r="G80" s="147"/>
      <c r="H80" s="147"/>
      <c r="I80" s="147"/>
      <c r="J80" s="146"/>
      <c r="K80" s="147"/>
      <c r="L80" s="147"/>
    </row>
    <row r="81" spans="1:22" ht="16.5" customHeight="1" x14ac:dyDescent="0.25">
      <c r="A81" s="16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</row>
    <row r="82" spans="1:22" ht="16.5" customHeight="1" x14ac:dyDescent="0.25">
      <c r="A82" s="420"/>
      <c r="B82" s="312"/>
      <c r="C82" s="312"/>
      <c r="D82" s="312"/>
      <c r="E82" s="312"/>
      <c r="F82" s="312"/>
      <c r="G82" s="312"/>
      <c r="H82" s="312"/>
      <c r="I82" s="312"/>
      <c r="J82" s="312"/>
      <c r="K82" s="312"/>
      <c r="L82" s="312"/>
    </row>
    <row r="83" spans="1:22" ht="16.5" customHeight="1" x14ac:dyDescent="0.25">
      <c r="A83" s="420"/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S83" s="248" t="s">
        <v>13</v>
      </c>
      <c r="U83" s="286" t="s">
        <v>577</v>
      </c>
      <c r="V83">
        <v>4411</v>
      </c>
    </row>
    <row r="84" spans="1:22" ht="16.5" customHeight="1" x14ac:dyDescent="0.25">
      <c r="A84" s="420"/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S84" s="248" t="s">
        <v>14</v>
      </c>
      <c r="U84" s="286" t="s">
        <v>578</v>
      </c>
      <c r="V84">
        <v>3331</v>
      </c>
    </row>
    <row r="85" spans="1:22" ht="16.5" customHeight="1" x14ac:dyDescent="0.25">
      <c r="A85" s="420"/>
      <c r="B85" s="312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S85" s="248" t="s">
        <v>15</v>
      </c>
      <c r="U85" s="286" t="s">
        <v>579</v>
      </c>
      <c r="V85">
        <v>3313</v>
      </c>
    </row>
    <row r="86" spans="1:22" ht="16.5" customHeight="1" x14ac:dyDescent="0.25">
      <c r="A86" s="420"/>
      <c r="B86" s="312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S86" s="248" t="s">
        <v>5</v>
      </c>
      <c r="U86" s="286"/>
      <c r="V86">
        <v>23</v>
      </c>
    </row>
    <row r="87" spans="1:22" ht="16.5" customHeight="1" x14ac:dyDescent="0.25">
      <c r="A87" s="420"/>
      <c r="B87" s="312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S87" s="248" t="s">
        <v>6</v>
      </c>
      <c r="U87" s="286" t="s">
        <v>580</v>
      </c>
      <c r="V87">
        <v>23</v>
      </c>
    </row>
    <row r="88" spans="1:22" ht="16.5" customHeight="1" x14ac:dyDescent="0.25">
      <c r="A88" s="420"/>
      <c r="B88" s="312"/>
      <c r="C88" s="312"/>
      <c r="D88" s="312"/>
      <c r="E88" s="312"/>
      <c r="F88" s="312"/>
      <c r="G88" s="312"/>
      <c r="H88" s="312"/>
      <c r="I88" s="312"/>
      <c r="J88" s="312"/>
      <c r="K88" s="312"/>
      <c r="L88" s="312"/>
      <c r="S88" s="248" t="s">
        <v>7</v>
      </c>
      <c r="U88" s="286" t="s">
        <v>581</v>
      </c>
    </row>
    <row r="89" spans="1:22" ht="16.5" customHeight="1" x14ac:dyDescent="0.25">
      <c r="A89" s="13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S89" s="248" t="s">
        <v>8</v>
      </c>
      <c r="U89" s="286" t="s">
        <v>582</v>
      </c>
    </row>
    <row r="90" spans="1:22" ht="16.5" customHeight="1" x14ac:dyDescent="0.25">
      <c r="A90" s="13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S90" s="248"/>
      <c r="U90" s="286"/>
    </row>
    <row r="91" spans="1:22" ht="16.5" customHeight="1" x14ac:dyDescent="0.25">
      <c r="A91" s="13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>
        <v>3</v>
      </c>
      <c r="S91" s="248" t="s">
        <v>41</v>
      </c>
      <c r="U91" s="286" t="s">
        <v>583</v>
      </c>
      <c r="V91">
        <v>4</v>
      </c>
    </row>
    <row r="92" spans="1:22" ht="21" x14ac:dyDescent="0.35">
      <c r="A92" s="439" t="s">
        <v>592</v>
      </c>
      <c r="B92" s="440"/>
      <c r="C92" s="440"/>
      <c r="D92" s="440"/>
      <c r="E92" s="312"/>
      <c r="F92" s="312"/>
      <c r="G92" s="312"/>
      <c r="H92" s="312"/>
      <c r="I92" s="441"/>
      <c r="J92" s="312"/>
      <c r="K92" s="312"/>
      <c r="L92" s="312"/>
      <c r="S92" s="248" t="s">
        <v>205</v>
      </c>
      <c r="U92" s="286" t="s">
        <v>584</v>
      </c>
      <c r="V92">
        <v>4</v>
      </c>
    </row>
    <row r="93" spans="1:22" ht="23.25" customHeight="1" x14ac:dyDescent="0.35">
      <c r="A93" s="468"/>
      <c r="B93" s="469" t="s">
        <v>1</v>
      </c>
      <c r="C93" s="460" t="s">
        <v>49</v>
      </c>
      <c r="D93" s="461"/>
      <c r="E93" s="460" t="s">
        <v>48</v>
      </c>
      <c r="F93" s="461"/>
      <c r="G93" s="460" t="s">
        <v>3</v>
      </c>
      <c r="H93" s="461"/>
      <c r="I93" s="462"/>
      <c r="J93" s="462" t="s">
        <v>544</v>
      </c>
      <c r="K93" s="462" t="s">
        <v>602</v>
      </c>
      <c r="L93" s="463" t="s">
        <v>47</v>
      </c>
      <c r="O93" s="427" t="s">
        <v>532</v>
      </c>
      <c r="S93" s="248" t="s">
        <v>206</v>
      </c>
      <c r="U93" s="286" t="s">
        <v>585</v>
      </c>
      <c r="V93">
        <v>4</v>
      </c>
    </row>
    <row r="94" spans="1:22" x14ac:dyDescent="0.25">
      <c r="A94" s="467"/>
      <c r="B94" s="38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O94" s="413">
        <v>600</v>
      </c>
      <c r="S94" s="248" t="s">
        <v>207</v>
      </c>
      <c r="U94" s="286" t="s">
        <v>586</v>
      </c>
      <c r="V94">
        <v>4</v>
      </c>
    </row>
    <row r="95" spans="1:22" x14ac:dyDescent="0.25">
      <c r="A95" s="220" t="s">
        <v>564</v>
      </c>
      <c r="B95" s="156">
        <v>91503</v>
      </c>
      <c r="C95" s="150"/>
      <c r="D95" s="156">
        <f>B95*C95</f>
        <v>0</v>
      </c>
      <c r="E95" s="150">
        <v>0.02</v>
      </c>
      <c r="F95" s="151">
        <f>D95*E95</f>
        <v>0</v>
      </c>
      <c r="G95" s="150"/>
      <c r="H95" s="156">
        <f>B95*G95</f>
        <v>0</v>
      </c>
      <c r="I95" s="140"/>
      <c r="J95" s="151">
        <v>6460</v>
      </c>
      <c r="K95" s="151">
        <v>800</v>
      </c>
      <c r="L95" s="151">
        <f>B95+D95+F95+H95+J95+K95</f>
        <v>98763</v>
      </c>
      <c r="O95" s="229">
        <f>L95+L96+L97</f>
        <v>225040.91</v>
      </c>
      <c r="P95" s="2"/>
      <c r="S95" s="248" t="s">
        <v>599</v>
      </c>
      <c r="U95" s="286" t="s">
        <v>600</v>
      </c>
      <c r="V95">
        <v>6</v>
      </c>
    </row>
    <row r="96" spans="1:22" x14ac:dyDescent="0.25">
      <c r="A96" s="414" t="s">
        <v>175</v>
      </c>
      <c r="B96" s="144">
        <v>45000</v>
      </c>
      <c r="C96" s="145"/>
      <c r="D96" s="144">
        <f>B96*C96</f>
        <v>0</v>
      </c>
      <c r="E96" s="145">
        <v>0.02</v>
      </c>
      <c r="F96" s="146">
        <f>D96*E96</f>
        <v>0</v>
      </c>
      <c r="G96" s="145"/>
      <c r="H96" s="144">
        <f>B96*G96</f>
        <v>0</v>
      </c>
      <c r="I96" s="147"/>
      <c r="J96" s="146"/>
      <c r="K96" s="146">
        <v>800</v>
      </c>
      <c r="L96" s="146">
        <f>B96+D96+F96+H96+K96</f>
        <v>45800</v>
      </c>
      <c r="P96" s="2"/>
      <c r="S96" s="248" t="s">
        <v>209</v>
      </c>
      <c r="U96" s="286" t="s">
        <v>587</v>
      </c>
      <c r="V96">
        <v>6</v>
      </c>
    </row>
    <row r="97" spans="1:22" x14ac:dyDescent="0.25">
      <c r="A97" s="415" t="s">
        <v>204</v>
      </c>
      <c r="B97" s="156">
        <v>71785</v>
      </c>
      <c r="C97" s="150"/>
      <c r="D97" s="156">
        <f>B97*C97</f>
        <v>0</v>
      </c>
      <c r="E97" s="150">
        <v>0.02</v>
      </c>
      <c r="F97" s="151">
        <f>D97*E97</f>
        <v>0</v>
      </c>
      <c r="G97" s="150">
        <v>0.03</v>
      </c>
      <c r="H97" s="156">
        <f>B97*G97</f>
        <v>2153.5499999999997</v>
      </c>
      <c r="I97" s="140"/>
      <c r="J97" s="151">
        <v>5739.36</v>
      </c>
      <c r="K97" s="151">
        <v>800</v>
      </c>
      <c r="L97" s="151">
        <f>B97+D97+F97+H97+J97+K97</f>
        <v>80477.91</v>
      </c>
      <c r="P97" s="2"/>
      <c r="S97" s="248" t="s">
        <v>210</v>
      </c>
      <c r="U97" s="286" t="s">
        <v>570</v>
      </c>
      <c r="V97">
        <v>6</v>
      </c>
    </row>
    <row r="98" spans="1:22" x14ac:dyDescent="0.25">
      <c r="A98" s="434"/>
      <c r="B98" s="432"/>
      <c r="C98" s="433" t="s">
        <v>23</v>
      </c>
      <c r="D98" s="387"/>
      <c r="E98" s="429"/>
      <c r="F98" s="430"/>
      <c r="G98" s="431"/>
      <c r="H98" s="432"/>
      <c r="I98" s="429"/>
      <c r="J98" s="430"/>
      <c r="K98" s="146"/>
      <c r="L98" s="428"/>
      <c r="P98" s="2"/>
      <c r="S98" s="248" t="s">
        <v>230</v>
      </c>
      <c r="U98" s="286"/>
    </row>
    <row r="99" spans="1:22" x14ac:dyDescent="0.25">
      <c r="A99" s="161"/>
      <c r="B99" s="140"/>
      <c r="C99" s="140" t="s">
        <v>24</v>
      </c>
      <c r="D99" s="140" t="s">
        <v>22</v>
      </c>
      <c r="E99" s="140"/>
      <c r="F99" s="151"/>
      <c r="G99" s="150"/>
      <c r="H99" s="156"/>
      <c r="I99" s="140"/>
      <c r="J99" s="151"/>
      <c r="K99" s="151"/>
      <c r="L99" s="151"/>
      <c r="P99" s="2"/>
      <c r="S99" s="248" t="s">
        <v>536</v>
      </c>
      <c r="U99" s="286" t="s">
        <v>571</v>
      </c>
      <c r="V99">
        <v>23</v>
      </c>
    </row>
    <row r="100" spans="1:22" x14ac:dyDescent="0.25">
      <c r="A100" s="143" t="s">
        <v>174</v>
      </c>
      <c r="B100" s="144"/>
      <c r="C100" s="147">
        <v>488</v>
      </c>
      <c r="D100" s="146">
        <v>41.58</v>
      </c>
      <c r="E100" s="146"/>
      <c r="F100" s="146">
        <f>D100*C100</f>
        <v>20291.04</v>
      </c>
      <c r="G100" s="145"/>
      <c r="H100" s="144"/>
      <c r="I100" s="147"/>
      <c r="J100" s="147"/>
      <c r="K100" s="146"/>
      <c r="L100" s="146"/>
      <c r="P100" s="2"/>
      <c r="S100" s="248" t="s">
        <v>537</v>
      </c>
      <c r="U100" s="286" t="s">
        <v>572</v>
      </c>
      <c r="V100">
        <v>4</v>
      </c>
    </row>
    <row r="101" spans="1:22" x14ac:dyDescent="0.25">
      <c r="A101" s="167" t="s">
        <v>175</v>
      </c>
      <c r="B101" s="156"/>
      <c r="C101" s="140"/>
      <c r="D101" s="151"/>
      <c r="E101" s="151"/>
      <c r="F101" s="151"/>
      <c r="G101" s="150"/>
      <c r="H101" s="156"/>
      <c r="I101" s="140"/>
      <c r="J101" s="140"/>
      <c r="K101" s="151"/>
      <c r="L101" s="151"/>
      <c r="P101" s="2"/>
      <c r="S101" s="248" t="s">
        <v>538</v>
      </c>
      <c r="U101" s="286" t="s">
        <v>573</v>
      </c>
      <c r="V101">
        <v>23</v>
      </c>
    </row>
    <row r="102" spans="1:22" x14ac:dyDescent="0.25">
      <c r="A102" s="168" t="s">
        <v>204</v>
      </c>
      <c r="B102" s="144"/>
      <c r="C102" s="147">
        <v>488</v>
      </c>
      <c r="D102" s="146">
        <v>32.659999999999997</v>
      </c>
      <c r="E102" s="146"/>
      <c r="F102" s="146">
        <f>D102*C102</f>
        <v>15938.079999999998</v>
      </c>
      <c r="G102" s="145"/>
      <c r="H102" s="144"/>
      <c r="I102" s="147"/>
      <c r="J102" s="147"/>
      <c r="K102" s="146"/>
      <c r="L102" s="146"/>
      <c r="O102" s="427" t="s">
        <v>562</v>
      </c>
      <c r="P102" s="2"/>
      <c r="S102" s="248" t="s">
        <v>539</v>
      </c>
      <c r="U102" s="286" t="s">
        <v>574</v>
      </c>
      <c r="V102">
        <v>23</v>
      </c>
    </row>
    <row r="103" spans="1:22" x14ac:dyDescent="0.25">
      <c r="A103" s="470"/>
      <c r="B103" s="451"/>
      <c r="C103" s="448"/>
      <c r="D103" s="449"/>
      <c r="E103" s="449"/>
      <c r="F103" s="449"/>
      <c r="G103" s="450"/>
      <c r="H103" s="451"/>
      <c r="I103" s="448"/>
      <c r="J103" s="448"/>
      <c r="K103" s="449"/>
      <c r="L103" s="452"/>
      <c r="O103" s="413">
        <v>600</v>
      </c>
      <c r="P103" s="2"/>
      <c r="S103" s="248" t="s">
        <v>540</v>
      </c>
      <c r="U103" s="286" t="s">
        <v>575</v>
      </c>
      <c r="V103">
        <v>6</v>
      </c>
    </row>
    <row r="104" spans="1:22" ht="15" customHeight="1" x14ac:dyDescent="0.25">
      <c r="A104" s="168"/>
      <c r="B104" s="144"/>
      <c r="C104" s="147"/>
      <c r="D104" s="147"/>
      <c r="E104" s="147" t="s">
        <v>23</v>
      </c>
      <c r="F104" s="147"/>
      <c r="G104" s="147"/>
      <c r="H104" s="147"/>
      <c r="I104" s="147"/>
      <c r="J104" s="147"/>
      <c r="K104" s="147"/>
      <c r="L104" s="147"/>
      <c r="O104" s="229">
        <f>F100+F102+J106</f>
        <v>124483.76000000001</v>
      </c>
      <c r="S104" s="248" t="s">
        <v>541</v>
      </c>
      <c r="U104" s="286" t="s">
        <v>576</v>
      </c>
      <c r="V104">
        <v>4</v>
      </c>
    </row>
    <row r="105" spans="1:22" x14ac:dyDescent="0.25">
      <c r="A105" s="161"/>
      <c r="B105" s="140" t="s">
        <v>22</v>
      </c>
      <c r="C105" s="140" t="s">
        <v>24</v>
      </c>
      <c r="D105" s="140"/>
      <c r="E105" s="140" t="s">
        <v>25</v>
      </c>
      <c r="F105" s="140" t="s">
        <v>22</v>
      </c>
      <c r="G105" s="140"/>
      <c r="H105" s="140" t="s">
        <v>165</v>
      </c>
      <c r="I105" s="140"/>
      <c r="J105" s="140" t="s">
        <v>4</v>
      </c>
      <c r="K105" s="140"/>
      <c r="L105" s="140"/>
    </row>
    <row r="106" spans="1:22" x14ac:dyDescent="0.25">
      <c r="A106" s="168" t="s">
        <v>20</v>
      </c>
      <c r="B106" s="147">
        <v>16.73</v>
      </c>
      <c r="C106" s="147">
        <v>4166</v>
      </c>
      <c r="D106" s="170">
        <f>C106*B106</f>
        <v>69697.180000000008</v>
      </c>
      <c r="E106" s="147">
        <v>786</v>
      </c>
      <c r="F106" s="146">
        <v>23.61</v>
      </c>
      <c r="G106" s="147"/>
      <c r="H106" s="146">
        <f>E106*F106</f>
        <v>18557.46</v>
      </c>
      <c r="I106" s="147"/>
      <c r="J106" s="146">
        <f>D106+H106</f>
        <v>88254.640000000014</v>
      </c>
      <c r="K106" s="147"/>
      <c r="L106" s="147"/>
    </row>
    <row r="107" spans="1:22" ht="16.5" customHeight="1" x14ac:dyDescent="0.25">
      <c r="A107" s="444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</row>
    <row r="108" spans="1:22" ht="37.5" customHeight="1" x14ac:dyDescent="0.35">
      <c r="A108" s="171" t="s">
        <v>565</v>
      </c>
      <c r="B108" s="172"/>
      <c r="C108" s="172"/>
      <c r="D108" s="475"/>
      <c r="E108" s="43"/>
      <c r="F108" s="312"/>
      <c r="G108" s="43"/>
      <c r="H108" s="312"/>
      <c r="I108" s="43"/>
      <c r="J108" s="312"/>
      <c r="K108" s="43"/>
      <c r="L108" s="43"/>
      <c r="O108" t="s">
        <v>601</v>
      </c>
    </row>
    <row r="109" spans="1:22" ht="18.75" x14ac:dyDescent="0.3">
      <c r="A109" s="444"/>
      <c r="B109" s="36"/>
      <c r="C109" s="419"/>
      <c r="D109" s="478">
        <v>200</v>
      </c>
      <c r="E109" s="140"/>
      <c r="F109" s="478">
        <v>300</v>
      </c>
      <c r="G109" s="140"/>
      <c r="H109" s="478">
        <v>400</v>
      </c>
      <c r="I109" s="140"/>
      <c r="J109" s="478">
        <v>600</v>
      </c>
      <c r="K109" s="36"/>
      <c r="L109" s="36"/>
      <c r="N109">
        <v>200</v>
      </c>
      <c r="O109">
        <v>300</v>
      </c>
      <c r="P109">
        <v>400</v>
      </c>
      <c r="Q109">
        <v>600</v>
      </c>
    </row>
    <row r="110" spans="1:22" ht="18.75" x14ac:dyDescent="0.3">
      <c r="A110" s="132"/>
      <c r="B110" s="43"/>
      <c r="C110" s="312"/>
      <c r="D110" s="164"/>
      <c r="E110" s="147"/>
      <c r="F110" s="164"/>
      <c r="G110" s="147"/>
      <c r="H110" s="164"/>
      <c r="I110" s="147"/>
      <c r="J110" s="164"/>
      <c r="K110" s="43"/>
      <c r="L110" s="43"/>
      <c r="N110" s="2">
        <f>D111+D116</f>
        <v>122936.22</v>
      </c>
      <c r="O110" s="13">
        <f>F116+F111</f>
        <v>120818.34</v>
      </c>
      <c r="P110" s="2">
        <f>H111+H116</f>
        <v>332978.5</v>
      </c>
      <c r="Q110" s="2">
        <f>J111+J116</f>
        <v>296867.77</v>
      </c>
    </row>
    <row r="111" spans="1:22" x14ac:dyDescent="0.25">
      <c r="A111" s="444"/>
      <c r="B111" s="36"/>
      <c r="C111" s="419"/>
      <c r="D111" s="507">
        <f>N37+N12</f>
        <v>118108.53</v>
      </c>
      <c r="E111" s="140"/>
      <c r="F111" s="508">
        <f>O12+O37</f>
        <v>118108.53</v>
      </c>
      <c r="G111" s="140"/>
      <c r="H111" s="507">
        <f>O65+P37</f>
        <v>288095.98</v>
      </c>
      <c r="I111" s="140"/>
      <c r="J111" s="507">
        <f>O95+Q37</f>
        <v>242081.19</v>
      </c>
      <c r="K111" s="36"/>
      <c r="L111" s="36"/>
    </row>
    <row r="112" spans="1:22" ht="18.75" x14ac:dyDescent="0.3">
      <c r="A112" s="132"/>
      <c r="B112" s="43"/>
      <c r="C112" s="312"/>
      <c r="D112" s="164"/>
      <c r="E112" s="147"/>
      <c r="F112" s="164"/>
      <c r="G112" s="147"/>
      <c r="H112" s="164"/>
      <c r="I112" s="147"/>
      <c r="J112" s="164"/>
      <c r="K112" s="43"/>
      <c r="L112" s="43"/>
    </row>
    <row r="113" spans="1:18" x14ac:dyDescent="0.25">
      <c r="A113" s="444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</row>
    <row r="114" spans="1:18" ht="48.75" customHeight="1" x14ac:dyDescent="0.35">
      <c r="A114" s="421" t="s">
        <v>566</v>
      </c>
      <c r="B114" s="422"/>
      <c r="C114" s="422"/>
      <c r="D114" s="475"/>
      <c r="E114" s="43"/>
      <c r="F114" s="43"/>
      <c r="G114" s="43"/>
      <c r="H114" s="43"/>
      <c r="I114" s="43"/>
      <c r="J114" s="43"/>
      <c r="K114" s="43"/>
      <c r="L114" s="43"/>
    </row>
    <row r="115" spans="1:18" ht="18" customHeight="1" x14ac:dyDescent="0.3">
      <c r="A115" s="471"/>
      <c r="B115" s="472"/>
      <c r="C115" s="474"/>
      <c r="D115" s="476">
        <v>200</v>
      </c>
      <c r="E115" s="140"/>
      <c r="F115" s="476">
        <v>300</v>
      </c>
      <c r="G115" s="140"/>
      <c r="H115" s="476">
        <v>400</v>
      </c>
      <c r="I115" s="140"/>
      <c r="J115" s="476">
        <v>600</v>
      </c>
      <c r="K115" s="477"/>
      <c r="L115" s="473"/>
    </row>
    <row r="116" spans="1:18" ht="21" customHeight="1" x14ac:dyDescent="0.25">
      <c r="A116" s="132"/>
      <c r="B116" s="43"/>
      <c r="C116" s="43"/>
      <c r="D116" s="258">
        <f>N40+N14</f>
        <v>4827.6899999999996</v>
      </c>
      <c r="E116" s="147"/>
      <c r="F116" s="258">
        <f>O40+O14</f>
        <v>2709.8099999999995</v>
      </c>
      <c r="G116" s="147"/>
      <c r="H116" s="229">
        <f>H78+F74+F73+F72</f>
        <v>44882.52</v>
      </c>
      <c r="I116" s="147"/>
      <c r="J116" s="229">
        <f>H106+F102+F100</f>
        <v>54786.579999999994</v>
      </c>
      <c r="K116" s="437"/>
      <c r="L116" s="43"/>
      <c r="R116" s="315"/>
    </row>
    <row r="117" spans="1:18" x14ac:dyDescent="0.25">
      <c r="A117" s="444"/>
      <c r="B117" s="36"/>
      <c r="C117" s="36"/>
      <c r="D117" s="140"/>
      <c r="E117" s="140"/>
      <c r="F117" s="140"/>
      <c r="G117" s="140"/>
      <c r="H117" s="140"/>
      <c r="I117" s="140"/>
      <c r="J117" s="140"/>
      <c r="K117" s="36"/>
      <c r="L117" s="36"/>
    </row>
    <row r="118" spans="1:18" x14ac:dyDescent="0.25">
      <c r="A118" s="132"/>
      <c r="B118" s="43"/>
      <c r="C118" s="43"/>
      <c r="D118" s="147"/>
      <c r="E118" s="147"/>
      <c r="F118" s="147"/>
      <c r="G118" s="147"/>
      <c r="H118" s="147"/>
      <c r="I118" s="147"/>
      <c r="J118" s="147"/>
      <c r="K118" s="43"/>
      <c r="L118" s="43"/>
    </row>
    <row r="119" spans="1:18" x14ac:dyDescent="0.25">
      <c r="A119" s="444"/>
      <c r="B119" s="36"/>
      <c r="C119" s="36"/>
      <c r="D119" s="140"/>
      <c r="E119" s="140"/>
      <c r="F119" s="140"/>
      <c r="G119" s="140"/>
      <c r="H119" s="140"/>
      <c r="I119" s="140"/>
      <c r="J119" s="140"/>
      <c r="K119" s="36"/>
      <c r="L119" s="36">
        <v>4</v>
      </c>
    </row>
  </sheetData>
  <pageMargins left="0.7" right="0.7" top="0.75" bottom="0.75" header="0.3" footer="0.3"/>
  <pageSetup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62"/>
  <sheetViews>
    <sheetView workbookViewId="0">
      <selection activeCell="G7" sqref="G7"/>
    </sheetView>
  </sheetViews>
  <sheetFormatPr defaultRowHeight="15" x14ac:dyDescent="0.25"/>
  <cols>
    <col min="1" max="1" width="22.7109375" customWidth="1"/>
    <col min="2" max="2" width="11.85546875" customWidth="1"/>
    <col min="3" max="3" width="12" customWidth="1"/>
    <col min="4" max="4" width="10.85546875" customWidth="1"/>
    <col min="5" max="5" width="11.5703125" customWidth="1"/>
    <col min="6" max="6" width="12.28515625" customWidth="1"/>
    <col min="7" max="7" width="13.7109375" customWidth="1"/>
    <col min="9" max="9" width="11.85546875" customWidth="1"/>
    <col min="11" max="11" width="14.7109375" customWidth="1"/>
    <col min="18" max="18" width="14.28515625" customWidth="1"/>
  </cols>
  <sheetData>
    <row r="1" spans="1:20" ht="18.75" x14ac:dyDescent="0.3">
      <c r="A1" s="56" t="s">
        <v>106</v>
      </c>
      <c r="B1" s="39"/>
      <c r="C1" s="39"/>
      <c r="D1" s="59" t="s">
        <v>156</v>
      </c>
      <c r="E1" s="39"/>
      <c r="F1" s="39"/>
      <c r="G1" s="39"/>
      <c r="H1" s="39"/>
      <c r="I1" s="39"/>
    </row>
    <row r="2" spans="1:20" ht="18.75" x14ac:dyDescent="0.3">
      <c r="A2" s="56" t="s">
        <v>613</v>
      </c>
      <c r="B2" s="46"/>
      <c r="C2" s="54" t="s">
        <v>151</v>
      </c>
      <c r="D2" s="47"/>
      <c r="E2" s="54" t="s">
        <v>152</v>
      </c>
      <c r="F2" s="46"/>
      <c r="G2" s="54" t="s">
        <v>155</v>
      </c>
      <c r="H2" s="62" t="s">
        <v>187</v>
      </c>
      <c r="I2" s="54" t="s">
        <v>153</v>
      </c>
    </row>
    <row r="3" spans="1:20" ht="18.75" x14ac:dyDescent="0.3">
      <c r="A3" s="57" t="s">
        <v>51</v>
      </c>
      <c r="B3" s="60"/>
      <c r="C3" s="55" t="s">
        <v>154</v>
      </c>
      <c r="D3" s="61"/>
      <c r="E3" s="55" t="s">
        <v>154</v>
      </c>
      <c r="F3" s="61"/>
      <c r="G3" s="55" t="s">
        <v>154</v>
      </c>
      <c r="H3" s="61" t="s">
        <v>154</v>
      </c>
      <c r="I3" s="55" t="s">
        <v>154</v>
      </c>
    </row>
    <row r="4" spans="1:20" x14ac:dyDescent="0.25">
      <c r="A4" s="38" t="s">
        <v>13</v>
      </c>
      <c r="B4" s="169"/>
      <c r="C4" s="178">
        <v>9588.02</v>
      </c>
      <c r="D4" s="497"/>
      <c r="E4" s="500">
        <v>841.2</v>
      </c>
      <c r="F4" s="498"/>
      <c r="G4" s="148">
        <v>540</v>
      </c>
      <c r="H4" s="177">
        <v>160</v>
      </c>
      <c r="I4" s="178">
        <v>159.6</v>
      </c>
      <c r="K4" s="13">
        <f>SUM(C4:J4)</f>
        <v>11288.820000000002</v>
      </c>
      <c r="Q4" s="248" t="s">
        <v>13</v>
      </c>
      <c r="S4" s="286" t="s">
        <v>577</v>
      </c>
      <c r="T4">
        <v>4411</v>
      </c>
    </row>
    <row r="5" spans="1:20" x14ac:dyDescent="0.25">
      <c r="A5" s="38" t="s">
        <v>14</v>
      </c>
      <c r="B5" s="169"/>
      <c r="C5" s="178">
        <v>9588.02</v>
      </c>
      <c r="D5" s="497"/>
      <c r="E5" s="500">
        <v>841.2</v>
      </c>
      <c r="F5" s="498"/>
      <c r="G5" s="148">
        <v>540</v>
      </c>
      <c r="H5" s="177">
        <v>160</v>
      </c>
      <c r="I5" s="178">
        <v>159.6</v>
      </c>
      <c r="K5" s="13">
        <f>SUM(C5:J5)</f>
        <v>11288.820000000002</v>
      </c>
      <c r="Q5" s="248" t="s">
        <v>14</v>
      </c>
      <c r="S5" s="286" t="s">
        <v>578</v>
      </c>
      <c r="T5">
        <v>3331</v>
      </c>
    </row>
    <row r="6" spans="1:20" x14ac:dyDescent="0.25">
      <c r="A6" s="38" t="s">
        <v>15</v>
      </c>
      <c r="B6" s="169"/>
      <c r="C6" s="178">
        <v>20699.900000000001</v>
      </c>
      <c r="D6" s="497"/>
      <c r="E6" s="500">
        <v>1624.8</v>
      </c>
      <c r="F6" s="498"/>
      <c r="G6" s="148">
        <v>540</v>
      </c>
      <c r="H6" s="177">
        <v>160</v>
      </c>
      <c r="I6" s="178">
        <v>284.39999999999998</v>
      </c>
      <c r="K6" s="13">
        <f>SUM(C6:J6)</f>
        <v>23309.100000000002</v>
      </c>
      <c r="Q6" s="248" t="s">
        <v>15</v>
      </c>
      <c r="S6" s="286" t="s">
        <v>579</v>
      </c>
      <c r="T6">
        <v>3313</v>
      </c>
    </row>
    <row r="7" spans="1:20" x14ac:dyDescent="0.25">
      <c r="A7" s="38" t="s">
        <v>5</v>
      </c>
      <c r="B7" s="169"/>
      <c r="C7" s="178"/>
      <c r="D7" s="497"/>
      <c r="E7" s="500"/>
      <c r="F7" s="498"/>
      <c r="G7" s="148"/>
      <c r="H7" s="177">
        <v>0</v>
      </c>
      <c r="I7" s="178"/>
      <c r="Q7" s="248" t="s">
        <v>5</v>
      </c>
      <c r="S7" s="286"/>
      <c r="T7">
        <v>23</v>
      </c>
    </row>
    <row r="8" spans="1:20" x14ac:dyDescent="0.25">
      <c r="A8" s="38" t="s">
        <v>6</v>
      </c>
      <c r="B8" s="169"/>
      <c r="C8" s="178">
        <v>9588.02</v>
      </c>
      <c r="D8" s="497"/>
      <c r="E8" s="500">
        <v>841.2</v>
      </c>
      <c r="F8" s="498"/>
      <c r="G8" s="148">
        <v>540</v>
      </c>
      <c r="H8" s="177">
        <v>160</v>
      </c>
      <c r="I8" s="178">
        <v>159.6</v>
      </c>
      <c r="K8" s="13">
        <f>SUM(C8:J8)</f>
        <v>11288.820000000002</v>
      </c>
      <c r="Q8" s="248" t="s">
        <v>6</v>
      </c>
      <c r="S8" s="286" t="s">
        <v>580</v>
      </c>
      <c r="T8">
        <v>23</v>
      </c>
    </row>
    <row r="9" spans="1:20" x14ac:dyDescent="0.25">
      <c r="A9" s="38" t="s">
        <v>7</v>
      </c>
      <c r="B9" s="169"/>
      <c r="C9" s="178">
        <v>9588.02</v>
      </c>
      <c r="D9" s="497"/>
      <c r="E9" s="500">
        <v>841.2</v>
      </c>
      <c r="F9" s="498"/>
      <c r="G9" s="148">
        <v>540</v>
      </c>
      <c r="H9" s="177">
        <v>160</v>
      </c>
      <c r="I9" s="178">
        <v>159.6</v>
      </c>
      <c r="K9" s="13">
        <f>SUM(C9:J9)</f>
        <v>11288.820000000002</v>
      </c>
      <c r="Q9" s="248" t="s">
        <v>7</v>
      </c>
      <c r="S9" s="286" t="s">
        <v>581</v>
      </c>
    </row>
    <row r="10" spans="1:20" x14ac:dyDescent="0.25">
      <c r="A10" s="38" t="s">
        <v>8</v>
      </c>
      <c r="B10" s="169"/>
      <c r="C10" s="178"/>
      <c r="D10" s="497"/>
      <c r="E10" s="500"/>
      <c r="F10" s="498"/>
      <c r="G10" s="148"/>
      <c r="H10" s="177">
        <v>160</v>
      </c>
      <c r="I10" s="178"/>
      <c r="Q10" s="248" t="s">
        <v>8</v>
      </c>
      <c r="S10" s="286" t="s">
        <v>582</v>
      </c>
    </row>
    <row r="11" spans="1:20" x14ac:dyDescent="0.25">
      <c r="A11" s="58" t="s">
        <v>41</v>
      </c>
      <c r="B11" s="169"/>
      <c r="C11" s="148"/>
      <c r="D11" s="497"/>
      <c r="E11" s="500"/>
      <c r="F11" s="498"/>
      <c r="G11" s="148"/>
      <c r="H11" s="177">
        <v>160</v>
      </c>
      <c r="I11" s="178"/>
      <c r="Q11" s="248" t="s">
        <v>41</v>
      </c>
      <c r="S11" s="286" t="s">
        <v>583</v>
      </c>
      <c r="T11">
        <v>4</v>
      </c>
    </row>
    <row r="12" spans="1:20" x14ac:dyDescent="0.25">
      <c r="A12" s="38" t="s">
        <v>545</v>
      </c>
      <c r="B12" s="169"/>
      <c r="C12" s="178">
        <v>26387.919999999998</v>
      </c>
      <c r="D12" s="497"/>
      <c r="E12" s="500">
        <v>2689.2</v>
      </c>
      <c r="F12" s="498"/>
      <c r="G12" s="148">
        <v>540</v>
      </c>
      <c r="H12" s="177">
        <v>160</v>
      </c>
      <c r="I12" s="178">
        <v>454.8</v>
      </c>
      <c r="K12" s="13">
        <f t="shared" ref="K12:K17" si="0">SUM(C12:J12)</f>
        <v>30231.919999999998</v>
      </c>
      <c r="Q12" s="248" t="s">
        <v>205</v>
      </c>
      <c r="S12" s="286" t="s">
        <v>584</v>
      </c>
      <c r="T12">
        <v>4</v>
      </c>
    </row>
    <row r="13" spans="1:20" x14ac:dyDescent="0.25">
      <c r="A13" s="38" t="s">
        <v>546</v>
      </c>
      <c r="B13" s="169"/>
      <c r="C13" s="178">
        <v>26387.919999999998</v>
      </c>
      <c r="D13" s="497"/>
      <c r="E13" s="500">
        <v>2689.2</v>
      </c>
      <c r="F13" s="498"/>
      <c r="G13" s="148">
        <v>540</v>
      </c>
      <c r="H13" s="177">
        <v>160</v>
      </c>
      <c r="I13" s="178">
        <v>454.8</v>
      </c>
      <c r="K13" s="13">
        <f t="shared" si="0"/>
        <v>30231.919999999998</v>
      </c>
      <c r="Q13" s="248" t="s">
        <v>206</v>
      </c>
      <c r="S13" s="286" t="s">
        <v>585</v>
      </c>
      <c r="T13">
        <v>4</v>
      </c>
    </row>
    <row r="14" spans="1:20" x14ac:dyDescent="0.25">
      <c r="A14" s="38" t="s">
        <v>547</v>
      </c>
      <c r="B14" s="169"/>
      <c r="C14" s="178">
        <v>26387.919999999998</v>
      </c>
      <c r="D14" s="497"/>
      <c r="E14" s="500">
        <v>2689.2</v>
      </c>
      <c r="F14" s="498"/>
      <c r="G14" s="148">
        <v>540</v>
      </c>
      <c r="H14" s="177">
        <v>160</v>
      </c>
      <c r="I14" s="178">
        <v>454.8</v>
      </c>
      <c r="K14" s="13">
        <f t="shared" si="0"/>
        <v>30231.919999999998</v>
      </c>
      <c r="Q14" s="248" t="s">
        <v>207</v>
      </c>
      <c r="S14" s="286" t="s">
        <v>586</v>
      </c>
      <c r="T14">
        <v>4</v>
      </c>
    </row>
    <row r="15" spans="1:20" x14ac:dyDescent="0.25">
      <c r="A15" s="38" t="s">
        <v>548</v>
      </c>
      <c r="B15" s="169"/>
      <c r="C15" s="178">
        <v>26387.919999999998</v>
      </c>
      <c r="D15" s="497"/>
      <c r="E15" s="500">
        <v>841.2</v>
      </c>
      <c r="F15" s="498"/>
      <c r="G15" s="148">
        <v>540</v>
      </c>
      <c r="H15" s="177">
        <v>160</v>
      </c>
      <c r="I15" s="178">
        <v>454.8</v>
      </c>
      <c r="K15" s="13">
        <f t="shared" si="0"/>
        <v>28383.919999999998</v>
      </c>
      <c r="Q15" s="248" t="s">
        <v>599</v>
      </c>
      <c r="S15" s="286" t="s">
        <v>600</v>
      </c>
      <c r="T15">
        <v>6</v>
      </c>
    </row>
    <row r="16" spans="1:20" x14ac:dyDescent="0.25">
      <c r="A16" s="38" t="s">
        <v>549</v>
      </c>
      <c r="B16" s="169"/>
      <c r="C16" s="178">
        <v>9588.02</v>
      </c>
      <c r="D16" s="497"/>
      <c r="E16" s="500"/>
      <c r="F16" s="498"/>
      <c r="G16" s="148"/>
      <c r="H16" s="177"/>
      <c r="I16" s="178"/>
      <c r="K16" s="13">
        <f t="shared" si="0"/>
        <v>9588.02</v>
      </c>
      <c r="Q16" s="248" t="s">
        <v>209</v>
      </c>
      <c r="S16" s="286" t="s">
        <v>587</v>
      </c>
      <c r="T16">
        <v>6</v>
      </c>
    </row>
    <row r="17" spans="1:20" x14ac:dyDescent="0.25">
      <c r="A17" s="38" t="s">
        <v>550</v>
      </c>
      <c r="B17" s="169"/>
      <c r="C17" s="178">
        <v>26387.919999999998</v>
      </c>
      <c r="D17" s="497"/>
      <c r="E17" s="500">
        <v>2689.2</v>
      </c>
      <c r="F17" s="498"/>
      <c r="G17" s="148"/>
      <c r="H17" s="177">
        <v>160</v>
      </c>
      <c r="I17" s="178">
        <v>454.8</v>
      </c>
      <c r="K17" s="13">
        <f t="shared" si="0"/>
        <v>29691.919999999998</v>
      </c>
      <c r="Q17" s="248" t="s">
        <v>210</v>
      </c>
      <c r="S17" s="286" t="s">
        <v>570</v>
      </c>
      <c r="T17">
        <v>6</v>
      </c>
    </row>
    <row r="18" spans="1:20" x14ac:dyDescent="0.25">
      <c r="A18" s="38" t="s">
        <v>551</v>
      </c>
      <c r="B18" s="169"/>
      <c r="C18" s="178"/>
      <c r="D18" s="497"/>
      <c r="E18" s="500"/>
      <c r="F18" s="498"/>
      <c r="G18" s="148"/>
      <c r="H18" s="177"/>
      <c r="I18" s="178"/>
      <c r="Q18" s="248" t="s">
        <v>230</v>
      </c>
      <c r="S18" s="286"/>
    </row>
    <row r="19" spans="1:20" x14ac:dyDescent="0.25">
      <c r="A19" s="38"/>
      <c r="B19" s="169" t="s">
        <v>4</v>
      </c>
      <c r="C19" s="482">
        <f>SUM(C4:C18)</f>
        <v>200579.59999999998</v>
      </c>
      <c r="D19" s="497"/>
      <c r="E19" s="501">
        <f>SUM(E4:E18)</f>
        <v>16587.600000000002</v>
      </c>
      <c r="F19" s="498"/>
      <c r="G19" s="258">
        <f>SUM(G4:G18)</f>
        <v>4860</v>
      </c>
      <c r="H19" s="177"/>
      <c r="I19" s="482">
        <f>SUM(I4:I18)</f>
        <v>3196.8</v>
      </c>
      <c r="Q19" s="248"/>
      <c r="S19" s="286"/>
    </row>
    <row r="20" spans="1:20" x14ac:dyDescent="0.25">
      <c r="A20" s="38">
        <v>60350</v>
      </c>
      <c r="B20" s="169"/>
      <c r="C20" s="178"/>
      <c r="D20" s="177"/>
      <c r="E20" s="499"/>
      <c r="F20" s="177"/>
      <c r="G20" s="148"/>
      <c r="H20" s="177"/>
      <c r="I20" s="178"/>
      <c r="Q20" s="248" t="s">
        <v>536</v>
      </c>
      <c r="S20" s="286" t="s">
        <v>571</v>
      </c>
      <c r="T20">
        <v>23</v>
      </c>
    </row>
    <row r="21" spans="1:20" x14ac:dyDescent="0.25">
      <c r="A21" s="38" t="s">
        <v>157</v>
      </c>
      <c r="B21" s="169"/>
      <c r="C21" s="178">
        <v>20700</v>
      </c>
      <c r="D21" s="177"/>
      <c r="E21" s="178"/>
      <c r="F21" s="177"/>
      <c r="G21" s="148">
        <v>540</v>
      </c>
      <c r="H21" s="177"/>
      <c r="I21" s="178"/>
      <c r="K21" s="13">
        <f t="shared" ref="K21:K26" si="1">SUM(C21:J21)</f>
        <v>21240</v>
      </c>
      <c r="Q21" s="248" t="s">
        <v>537</v>
      </c>
      <c r="S21" s="286" t="s">
        <v>572</v>
      </c>
      <c r="T21">
        <v>4</v>
      </c>
    </row>
    <row r="22" spans="1:20" x14ac:dyDescent="0.25">
      <c r="A22" s="38" t="s">
        <v>158</v>
      </c>
      <c r="B22" s="169"/>
      <c r="C22" s="178">
        <v>9588</v>
      </c>
      <c r="D22" s="177"/>
      <c r="E22" s="178"/>
      <c r="F22" s="177"/>
      <c r="G22" s="148">
        <v>540</v>
      </c>
      <c r="H22" s="177"/>
      <c r="I22" s="178"/>
      <c r="K22" s="13">
        <f t="shared" si="1"/>
        <v>10128</v>
      </c>
      <c r="Q22" s="248" t="s">
        <v>538</v>
      </c>
      <c r="S22" s="286" t="s">
        <v>573</v>
      </c>
      <c r="T22">
        <v>23</v>
      </c>
    </row>
    <row r="23" spans="1:20" x14ac:dyDescent="0.25">
      <c r="A23" s="38" t="s">
        <v>159</v>
      </c>
      <c r="B23" s="169"/>
      <c r="C23" s="178"/>
      <c r="D23" s="177"/>
      <c r="E23" s="178"/>
      <c r="F23" s="177"/>
      <c r="G23" s="148"/>
      <c r="H23" s="177"/>
      <c r="I23" s="178"/>
      <c r="K23" s="13">
        <f t="shared" si="1"/>
        <v>0</v>
      </c>
      <c r="Q23" s="248" t="s">
        <v>539</v>
      </c>
      <c r="S23" s="286" t="s">
        <v>574</v>
      </c>
      <c r="T23">
        <v>23</v>
      </c>
    </row>
    <row r="24" spans="1:20" x14ac:dyDescent="0.25">
      <c r="A24" s="38" t="s">
        <v>160</v>
      </c>
      <c r="B24" s="169"/>
      <c r="C24" s="178">
        <v>4199.6400000000003</v>
      </c>
      <c r="D24" s="177"/>
      <c r="E24" s="178"/>
      <c r="F24" s="177"/>
      <c r="G24" s="148">
        <v>540</v>
      </c>
      <c r="H24" s="177"/>
      <c r="I24" s="178"/>
      <c r="K24" s="13">
        <f t="shared" si="1"/>
        <v>4739.6400000000003</v>
      </c>
      <c r="Q24" s="248" t="s">
        <v>540</v>
      </c>
      <c r="S24" s="286" t="s">
        <v>575</v>
      </c>
      <c r="T24">
        <v>6</v>
      </c>
    </row>
    <row r="25" spans="1:20" x14ac:dyDescent="0.25">
      <c r="A25" s="38" t="s">
        <v>161</v>
      </c>
      <c r="B25" s="169"/>
      <c r="C25" s="178">
        <v>24912</v>
      </c>
      <c r="D25" s="177"/>
      <c r="E25" s="178"/>
      <c r="F25" s="177"/>
      <c r="G25" s="148">
        <v>540</v>
      </c>
      <c r="H25" s="177"/>
      <c r="I25" s="178"/>
      <c r="K25" s="13">
        <f t="shared" si="1"/>
        <v>25452</v>
      </c>
      <c r="Q25" s="248" t="s">
        <v>541</v>
      </c>
      <c r="S25" s="286" t="s">
        <v>576</v>
      </c>
      <c r="T25">
        <v>4</v>
      </c>
    </row>
    <row r="26" spans="1:20" x14ac:dyDescent="0.25">
      <c r="A26" s="38" t="s">
        <v>162</v>
      </c>
      <c r="B26" s="169"/>
      <c r="C26" s="178">
        <v>22200</v>
      </c>
      <c r="D26" s="177"/>
      <c r="E26" s="178"/>
      <c r="F26" s="177"/>
      <c r="G26" s="148">
        <v>540</v>
      </c>
      <c r="H26" s="177"/>
      <c r="I26" s="178"/>
      <c r="K26" s="13">
        <f t="shared" si="1"/>
        <v>22740</v>
      </c>
    </row>
    <row r="27" spans="1:20" x14ac:dyDescent="0.25">
      <c r="A27" s="39"/>
      <c r="B27" s="140"/>
      <c r="C27" s="178"/>
      <c r="D27" s="177"/>
      <c r="E27" s="148"/>
      <c r="F27" s="154"/>
      <c r="G27" s="148"/>
      <c r="H27" s="154"/>
      <c r="I27" s="148"/>
    </row>
    <row r="28" spans="1:20" x14ac:dyDescent="0.25">
      <c r="A28" s="53" t="s">
        <v>59</v>
      </c>
      <c r="B28" s="170"/>
      <c r="C28" s="178"/>
      <c r="D28" s="178"/>
      <c r="E28" s="178"/>
      <c r="F28" s="178"/>
      <c r="G28" s="148"/>
      <c r="H28" s="148"/>
      <c r="I28" s="148"/>
    </row>
    <row r="29" spans="1:20" x14ac:dyDescent="0.25">
      <c r="A29" s="53"/>
      <c r="B29" s="502"/>
      <c r="C29" s="503"/>
      <c r="D29" s="503"/>
      <c r="E29" s="503"/>
      <c r="F29" s="503"/>
      <c r="G29" s="504"/>
      <c r="H29" s="504"/>
      <c r="I29" s="504"/>
    </row>
    <row r="31" spans="1:20" x14ac:dyDescent="0.25">
      <c r="P31" t="s">
        <v>106</v>
      </c>
    </row>
    <row r="34" spans="1:15" ht="18.75" x14ac:dyDescent="0.3">
      <c r="A34" s="56" t="s">
        <v>106</v>
      </c>
      <c r="B34" s="39"/>
      <c r="C34" s="39"/>
      <c r="D34" s="59" t="s">
        <v>163</v>
      </c>
      <c r="E34" s="39"/>
      <c r="F34" s="39"/>
      <c r="G34" s="39"/>
      <c r="H34" s="39"/>
      <c r="I34" s="39"/>
    </row>
    <row r="35" spans="1:15" ht="18.75" x14ac:dyDescent="0.3">
      <c r="A35" s="56" t="s">
        <v>613</v>
      </c>
      <c r="B35" s="46"/>
      <c r="C35" s="62" t="s">
        <v>9</v>
      </c>
      <c r="D35" s="47"/>
      <c r="E35" s="62" t="s">
        <v>10</v>
      </c>
      <c r="F35" s="46"/>
      <c r="G35" s="62" t="s">
        <v>16</v>
      </c>
      <c r="H35" s="46"/>
      <c r="I35" s="62" t="s">
        <v>17</v>
      </c>
    </row>
    <row r="36" spans="1:15" ht="18.75" x14ac:dyDescent="0.3">
      <c r="A36" s="57" t="s">
        <v>51</v>
      </c>
      <c r="B36" s="60"/>
      <c r="C36" s="55">
        <v>200</v>
      </c>
      <c r="D36" s="61"/>
      <c r="E36" s="55">
        <v>300</v>
      </c>
      <c r="F36" s="61"/>
      <c r="G36" s="55">
        <v>400</v>
      </c>
      <c r="H36" s="61"/>
      <c r="I36" s="55">
        <v>600</v>
      </c>
      <c r="L36" s="248" t="s">
        <v>13</v>
      </c>
      <c r="N36" s="286" t="s">
        <v>577</v>
      </c>
      <c r="O36">
        <v>4411</v>
      </c>
    </row>
    <row r="37" spans="1:15" x14ac:dyDescent="0.25">
      <c r="A37" s="38" t="s">
        <v>13</v>
      </c>
      <c r="B37" s="177"/>
      <c r="C37" s="178">
        <f>K4*(0.4)</f>
        <v>4515.5280000000012</v>
      </c>
      <c r="D37" s="177"/>
      <c r="E37" s="178">
        <f>K4*(0.4)</f>
        <v>4515.5280000000012</v>
      </c>
      <c r="F37" s="177"/>
      <c r="G37" s="148">
        <f>+K4*(0.1)</f>
        <v>1128.8820000000003</v>
      </c>
      <c r="H37" s="177"/>
      <c r="I37" s="178">
        <f>K4*(0.1)</f>
        <v>1128.8820000000003</v>
      </c>
      <c r="J37" t="s">
        <v>164</v>
      </c>
      <c r="L37" s="248" t="s">
        <v>14</v>
      </c>
      <c r="N37" s="286" t="s">
        <v>578</v>
      </c>
      <c r="O37">
        <v>3331</v>
      </c>
    </row>
    <row r="38" spans="1:15" x14ac:dyDescent="0.25">
      <c r="A38" s="38" t="s">
        <v>14</v>
      </c>
      <c r="B38" s="177"/>
      <c r="C38" s="178">
        <f>K5*(0.3)</f>
        <v>3386.6460000000002</v>
      </c>
      <c r="D38" s="177"/>
      <c r="E38" s="178">
        <f>K5*(0.3)</f>
        <v>3386.6460000000002</v>
      </c>
      <c r="F38" s="177"/>
      <c r="G38" s="148">
        <f>K5*(0.3)</f>
        <v>3386.6460000000002</v>
      </c>
      <c r="H38" s="177"/>
      <c r="I38" s="178">
        <f>K5*(0.1)</f>
        <v>1128.8820000000003</v>
      </c>
      <c r="L38" s="248" t="s">
        <v>15</v>
      </c>
      <c r="N38" s="286" t="s">
        <v>579</v>
      </c>
      <c r="O38">
        <v>3313</v>
      </c>
    </row>
    <row r="39" spans="1:15" x14ac:dyDescent="0.25">
      <c r="A39" s="38" t="s">
        <v>15</v>
      </c>
      <c r="B39" s="177"/>
      <c r="C39" s="178">
        <f>K6*(0.3)</f>
        <v>6992.7300000000005</v>
      </c>
      <c r="D39" s="177"/>
      <c r="E39" s="178">
        <f>K6*(0.3)</f>
        <v>6992.7300000000005</v>
      </c>
      <c r="F39" s="177"/>
      <c r="G39" s="148">
        <f>K6*(0.1)</f>
        <v>2330.9100000000003</v>
      </c>
      <c r="H39" s="177"/>
      <c r="I39" s="178">
        <f>K6*(0.3)</f>
        <v>6992.7300000000005</v>
      </c>
      <c r="L39" s="248" t="s">
        <v>5</v>
      </c>
      <c r="N39" s="286"/>
      <c r="O39">
        <v>23</v>
      </c>
    </row>
    <row r="40" spans="1:15" x14ac:dyDescent="0.25">
      <c r="A40" s="38" t="s">
        <v>5</v>
      </c>
      <c r="B40" s="177"/>
      <c r="C40" s="178"/>
      <c r="D40" s="177"/>
      <c r="E40" s="178"/>
      <c r="F40" s="177"/>
      <c r="G40" s="148"/>
      <c r="H40" s="177"/>
      <c r="I40" s="178"/>
      <c r="L40" s="248" t="s">
        <v>6</v>
      </c>
      <c r="N40" s="286" t="s">
        <v>580</v>
      </c>
      <c r="O40">
        <v>23</v>
      </c>
    </row>
    <row r="41" spans="1:15" x14ac:dyDescent="0.25">
      <c r="A41" s="38" t="s">
        <v>6</v>
      </c>
      <c r="B41" s="177"/>
      <c r="C41" s="178">
        <f>K8*(0.5)</f>
        <v>5644.4100000000008</v>
      </c>
      <c r="D41" s="177"/>
      <c r="E41" s="178">
        <f>K8*(0.5)</f>
        <v>5644.4100000000008</v>
      </c>
      <c r="F41" s="177"/>
      <c r="G41" s="148"/>
      <c r="H41" s="177"/>
      <c r="I41" s="178"/>
      <c r="L41" s="248" t="s">
        <v>7</v>
      </c>
      <c r="N41" s="286" t="s">
        <v>581</v>
      </c>
    </row>
    <row r="42" spans="1:15" x14ac:dyDescent="0.25">
      <c r="A42" s="38" t="s">
        <v>7</v>
      </c>
      <c r="B42" s="177"/>
      <c r="C42" s="178">
        <f>K9*(0.5)</f>
        <v>5644.4100000000008</v>
      </c>
      <c r="D42" s="177"/>
      <c r="E42" s="178">
        <f>K9*(0.5)</f>
        <v>5644.4100000000008</v>
      </c>
      <c r="F42" s="177"/>
      <c r="G42" s="148"/>
      <c r="H42" s="177"/>
      <c r="I42" s="178"/>
      <c r="L42" s="248" t="s">
        <v>8</v>
      </c>
      <c r="N42" s="286" t="s">
        <v>582</v>
      </c>
    </row>
    <row r="43" spans="1:15" x14ac:dyDescent="0.25">
      <c r="A43" s="38" t="s">
        <v>8</v>
      </c>
      <c r="B43" s="177"/>
      <c r="C43" s="178"/>
      <c r="D43" s="177"/>
      <c r="E43" s="178"/>
      <c r="F43" s="177"/>
      <c r="G43" s="148"/>
      <c r="H43" s="177"/>
      <c r="I43" s="178"/>
      <c r="L43" s="248" t="s">
        <v>41</v>
      </c>
      <c r="N43" s="286" t="s">
        <v>583</v>
      </c>
      <c r="O43">
        <v>4</v>
      </c>
    </row>
    <row r="44" spans="1:15" x14ac:dyDescent="0.25">
      <c r="A44" s="58" t="s">
        <v>41</v>
      </c>
      <c r="B44" s="177"/>
      <c r="C44" s="148"/>
      <c r="D44" s="177"/>
      <c r="E44" s="178"/>
      <c r="F44" s="177"/>
      <c r="G44" s="148"/>
      <c r="H44" s="177"/>
      <c r="I44" s="178"/>
      <c r="L44" s="248" t="s">
        <v>205</v>
      </c>
      <c r="N44" s="286" t="s">
        <v>584</v>
      </c>
      <c r="O44">
        <v>4</v>
      </c>
    </row>
    <row r="45" spans="1:15" x14ac:dyDescent="0.25">
      <c r="A45" s="38" t="s">
        <v>56</v>
      </c>
      <c r="B45" s="247">
        <v>1</v>
      </c>
      <c r="C45" s="178"/>
      <c r="D45" s="177"/>
      <c r="E45" s="178"/>
      <c r="F45" s="177"/>
      <c r="G45" s="148">
        <f>K12</f>
        <v>30231.919999999998</v>
      </c>
      <c r="H45" s="177"/>
      <c r="I45" s="178"/>
      <c r="L45" s="248" t="s">
        <v>206</v>
      </c>
      <c r="N45" s="286" t="s">
        <v>585</v>
      </c>
      <c r="O45">
        <v>4</v>
      </c>
    </row>
    <row r="46" spans="1:15" x14ac:dyDescent="0.25">
      <c r="A46" s="38" t="s">
        <v>57</v>
      </c>
      <c r="B46" s="247">
        <v>2</v>
      </c>
      <c r="C46" s="178"/>
      <c r="D46" s="177"/>
      <c r="E46" s="178"/>
      <c r="F46" s="177"/>
      <c r="G46" s="148">
        <f>K12</f>
        <v>30231.919999999998</v>
      </c>
      <c r="H46" s="177"/>
      <c r="I46" s="178"/>
      <c r="L46" s="248" t="s">
        <v>207</v>
      </c>
      <c r="N46" s="286" t="s">
        <v>586</v>
      </c>
      <c r="O46">
        <v>4</v>
      </c>
    </row>
    <row r="47" spans="1:15" x14ac:dyDescent="0.25">
      <c r="A47" s="38" t="s">
        <v>57</v>
      </c>
      <c r="B47" s="247">
        <v>3</v>
      </c>
      <c r="C47" s="178"/>
      <c r="D47" s="177"/>
      <c r="E47" s="178"/>
      <c r="F47" s="177"/>
      <c r="G47" s="148">
        <f>K14</f>
        <v>30231.919999999998</v>
      </c>
      <c r="H47" s="177"/>
      <c r="I47" s="178"/>
      <c r="L47" s="248" t="s">
        <v>599</v>
      </c>
      <c r="N47" s="286" t="s">
        <v>600</v>
      </c>
      <c r="O47">
        <v>6</v>
      </c>
    </row>
    <row r="48" spans="1:15" x14ac:dyDescent="0.25">
      <c r="A48" s="38" t="s">
        <v>137</v>
      </c>
      <c r="B48" s="247">
        <v>4</v>
      </c>
      <c r="C48" s="178"/>
      <c r="D48" s="177"/>
      <c r="E48" s="178"/>
      <c r="F48" s="177"/>
      <c r="G48" s="148"/>
      <c r="H48" s="177"/>
      <c r="I48" s="178">
        <f>K15</f>
        <v>28383.919999999998</v>
      </c>
      <c r="L48" s="248" t="s">
        <v>209</v>
      </c>
      <c r="N48" s="286" t="s">
        <v>587</v>
      </c>
      <c r="O48">
        <v>6</v>
      </c>
    </row>
    <row r="49" spans="1:15" x14ac:dyDescent="0.25">
      <c r="A49" s="38" t="s">
        <v>58</v>
      </c>
      <c r="B49" s="247">
        <v>5</v>
      </c>
      <c r="C49" s="178"/>
      <c r="D49" s="177"/>
      <c r="E49" s="178"/>
      <c r="F49" s="177"/>
      <c r="G49" s="148"/>
      <c r="H49" s="177"/>
      <c r="I49" s="178"/>
      <c r="L49" s="248" t="s">
        <v>210</v>
      </c>
      <c r="N49" s="286" t="s">
        <v>570</v>
      </c>
      <c r="O49">
        <v>6</v>
      </c>
    </row>
    <row r="50" spans="1:15" x14ac:dyDescent="0.25">
      <c r="A50" s="38" t="s">
        <v>137</v>
      </c>
      <c r="B50" s="247">
        <v>6</v>
      </c>
      <c r="C50" s="178"/>
      <c r="D50" s="177"/>
      <c r="E50" s="178"/>
      <c r="F50" s="177"/>
      <c r="G50" s="148"/>
      <c r="H50" s="177"/>
      <c r="I50" s="178">
        <f>K17</f>
        <v>29691.919999999998</v>
      </c>
      <c r="L50" s="248" t="s">
        <v>230</v>
      </c>
      <c r="N50" s="286"/>
    </row>
    <row r="51" spans="1:15" x14ac:dyDescent="0.25">
      <c r="A51" s="38" t="s">
        <v>58</v>
      </c>
      <c r="B51" s="247"/>
      <c r="C51" s="178"/>
      <c r="D51" s="177"/>
      <c r="E51" s="178"/>
      <c r="F51" s="177"/>
      <c r="G51" s="148"/>
      <c r="H51" s="177"/>
      <c r="I51" s="178"/>
      <c r="L51" s="248"/>
      <c r="N51" s="286"/>
    </row>
    <row r="52" spans="1:15" x14ac:dyDescent="0.25">
      <c r="A52" s="38"/>
      <c r="B52" s="247"/>
      <c r="C52" s="178"/>
      <c r="D52" s="177"/>
      <c r="E52" s="178"/>
      <c r="F52" s="177"/>
      <c r="G52" s="148"/>
      <c r="H52" s="177"/>
      <c r="I52" s="178"/>
      <c r="L52" s="248" t="s">
        <v>536</v>
      </c>
      <c r="N52" s="286" t="s">
        <v>571</v>
      </c>
      <c r="O52">
        <v>23</v>
      </c>
    </row>
    <row r="53" spans="1:15" x14ac:dyDescent="0.25">
      <c r="A53" s="38"/>
      <c r="B53" s="247"/>
      <c r="C53" s="482">
        <f>SUM(C37:C52)</f>
        <v>26183.724000000002</v>
      </c>
      <c r="D53" s="177"/>
      <c r="E53" s="482">
        <f>SUM(E37:E52)</f>
        <v>26183.724000000002</v>
      </c>
      <c r="F53" s="177"/>
      <c r="G53" s="258">
        <f>SUM(G37:G52)</f>
        <v>97542.197999999989</v>
      </c>
      <c r="H53" s="177"/>
      <c r="I53" s="482">
        <f>SUM(I37:I52)</f>
        <v>67326.334000000003</v>
      </c>
      <c r="L53" s="248" t="s">
        <v>537</v>
      </c>
      <c r="N53" s="286" t="s">
        <v>572</v>
      </c>
      <c r="O53">
        <v>4</v>
      </c>
    </row>
    <row r="54" spans="1:15" x14ac:dyDescent="0.25">
      <c r="A54" s="38">
        <v>60350</v>
      </c>
      <c r="B54" s="247"/>
      <c r="C54" s="178"/>
      <c r="D54" s="177"/>
      <c r="E54" s="178"/>
      <c r="F54" s="177"/>
      <c r="G54" s="148"/>
      <c r="H54" s="177"/>
      <c r="I54" s="178"/>
      <c r="L54" s="248" t="s">
        <v>538</v>
      </c>
      <c r="N54" s="286" t="s">
        <v>573</v>
      </c>
      <c r="O54">
        <v>23</v>
      </c>
    </row>
    <row r="55" spans="1:15" x14ac:dyDescent="0.25">
      <c r="A55" s="38" t="s">
        <v>157</v>
      </c>
      <c r="B55" s="177"/>
      <c r="C55" s="178">
        <f>K21/2</f>
        <v>10620</v>
      </c>
      <c r="D55" s="177"/>
      <c r="E55" s="178">
        <f>K21/2</f>
        <v>10620</v>
      </c>
      <c r="F55" s="177"/>
      <c r="G55" s="148"/>
      <c r="H55" s="177"/>
      <c r="I55" s="178"/>
      <c r="L55" s="248" t="s">
        <v>539</v>
      </c>
      <c r="N55" s="286" t="s">
        <v>574</v>
      </c>
      <c r="O55">
        <v>23</v>
      </c>
    </row>
    <row r="56" spans="1:15" x14ac:dyDescent="0.25">
      <c r="A56" s="38" t="s">
        <v>158</v>
      </c>
      <c r="B56" s="177"/>
      <c r="C56" s="178"/>
      <c r="D56" s="177"/>
      <c r="E56" s="178"/>
      <c r="F56" s="177"/>
      <c r="G56" s="148">
        <f>K23</f>
        <v>0</v>
      </c>
      <c r="H56" s="177"/>
      <c r="I56" s="178"/>
      <c r="L56" s="248" t="s">
        <v>540</v>
      </c>
      <c r="N56" s="286" t="s">
        <v>575</v>
      </c>
      <c r="O56">
        <v>6</v>
      </c>
    </row>
    <row r="57" spans="1:15" x14ac:dyDescent="0.25">
      <c r="A57" s="38" t="s">
        <v>159</v>
      </c>
      <c r="B57" s="177"/>
      <c r="C57" s="178"/>
      <c r="D57" s="177"/>
      <c r="E57" s="178"/>
      <c r="F57" s="177"/>
      <c r="G57" s="148"/>
      <c r="H57" s="177"/>
      <c r="I57" s="178"/>
      <c r="L57" s="248" t="s">
        <v>541</v>
      </c>
      <c r="N57" s="286" t="s">
        <v>576</v>
      </c>
      <c r="O57">
        <v>4</v>
      </c>
    </row>
    <row r="58" spans="1:15" x14ac:dyDescent="0.25">
      <c r="A58" s="38" t="s">
        <v>160</v>
      </c>
      <c r="B58" s="177"/>
      <c r="C58" s="178">
        <f>K24/2</f>
        <v>2369.8200000000002</v>
      </c>
      <c r="D58" s="177"/>
      <c r="E58" s="178">
        <f>K24/2</f>
        <v>2369.8200000000002</v>
      </c>
      <c r="F58" s="177"/>
      <c r="G58" s="148"/>
      <c r="H58" s="177"/>
      <c r="I58" s="178"/>
    </row>
    <row r="59" spans="1:15" x14ac:dyDescent="0.25">
      <c r="A59" s="38" t="s">
        <v>161</v>
      </c>
      <c r="B59" s="177"/>
      <c r="C59" s="178"/>
      <c r="D59" s="177"/>
      <c r="E59" s="178"/>
      <c r="F59" s="177"/>
      <c r="G59" s="148"/>
      <c r="H59" s="177"/>
      <c r="I59" s="178">
        <f>K25</f>
        <v>25452</v>
      </c>
    </row>
    <row r="60" spans="1:15" x14ac:dyDescent="0.25">
      <c r="A60" s="38" t="s">
        <v>162</v>
      </c>
      <c r="B60" s="177"/>
      <c r="C60" s="178"/>
      <c r="D60" s="177"/>
      <c r="E60" s="178"/>
      <c r="F60" s="177"/>
      <c r="G60" s="148">
        <f>K26</f>
        <v>22740</v>
      </c>
      <c r="H60" s="177"/>
      <c r="I60" s="178"/>
    </row>
    <row r="61" spans="1:15" x14ac:dyDescent="0.25">
      <c r="A61" s="39"/>
      <c r="B61" s="154"/>
      <c r="C61" s="178"/>
      <c r="D61" s="177"/>
      <c r="E61" s="148"/>
      <c r="F61" s="154"/>
      <c r="G61" s="148"/>
      <c r="H61" s="154"/>
      <c r="I61" s="148"/>
    </row>
    <row r="62" spans="1:15" x14ac:dyDescent="0.25">
      <c r="A62" s="53" t="s">
        <v>59</v>
      </c>
      <c r="B62" s="178"/>
      <c r="C62" s="482">
        <f>SUM(C55:C61)</f>
        <v>12989.82</v>
      </c>
      <c r="D62" s="178"/>
      <c r="E62" s="482">
        <f>SUM(E55:E61)</f>
        <v>12989.82</v>
      </c>
      <c r="F62" s="178"/>
      <c r="G62" s="258">
        <f>SUM(G55:G61)</f>
        <v>22740</v>
      </c>
      <c r="H62" s="148"/>
      <c r="I62" s="258">
        <f>SUM(I55:I61)</f>
        <v>25452</v>
      </c>
    </row>
  </sheetData>
  <phoneticPr fontId="33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63"/>
  <sheetViews>
    <sheetView topLeftCell="A19" workbookViewId="0">
      <selection activeCell="I61" sqref="I61"/>
    </sheetView>
  </sheetViews>
  <sheetFormatPr defaultRowHeight="15" x14ac:dyDescent="0.25"/>
  <cols>
    <col min="1" max="1" width="21.42578125" customWidth="1"/>
    <col min="2" max="2" width="13.5703125" customWidth="1"/>
    <col min="3" max="3" width="11" customWidth="1"/>
    <col min="4" max="4" width="13.42578125" customWidth="1"/>
    <col min="5" max="5" width="15.5703125" customWidth="1"/>
    <col min="6" max="6" width="13.140625" customWidth="1"/>
    <col min="7" max="7" width="13.7109375" customWidth="1"/>
    <col min="8" max="8" width="12" customWidth="1"/>
    <col min="9" max="9" width="9.7109375" customWidth="1"/>
    <col min="10" max="10" width="10.28515625" bestFit="1" customWidth="1"/>
    <col min="11" max="13" width="9.85546875" bestFit="1" customWidth="1"/>
    <col min="14" max="14" width="11.28515625" bestFit="1" customWidth="1"/>
    <col min="15" max="15" width="10.85546875" bestFit="1" customWidth="1"/>
    <col min="16" max="16" width="12" customWidth="1"/>
    <col min="17" max="17" width="14.140625" customWidth="1"/>
    <col min="19" max="19" width="13.85546875" customWidth="1"/>
  </cols>
  <sheetData>
    <row r="1" spans="1:24" x14ac:dyDescent="0.25">
      <c r="A1" s="526"/>
      <c r="B1" s="526"/>
      <c r="C1" s="526"/>
      <c r="D1" s="526"/>
      <c r="E1" s="526"/>
      <c r="F1" s="526"/>
      <c r="G1" s="526"/>
      <c r="H1" s="526"/>
    </row>
    <row r="2" spans="1:24" x14ac:dyDescent="0.25">
      <c r="A2" s="6"/>
    </row>
    <row r="3" spans="1:24" ht="18.75" x14ac:dyDescent="0.3">
      <c r="A3" s="244">
        <v>60325</v>
      </c>
      <c r="B3" s="46"/>
      <c r="C3" s="46"/>
      <c r="D3" s="47" t="s">
        <v>622</v>
      </c>
      <c r="E3" s="46"/>
      <c r="F3" s="46"/>
      <c r="G3" s="46"/>
      <c r="H3" s="46"/>
      <c r="I3" s="46"/>
      <c r="P3" s="400"/>
    </row>
    <row r="4" spans="1:24" ht="39.75" x14ac:dyDescent="0.3">
      <c r="A4" s="80" t="s">
        <v>51</v>
      </c>
      <c r="B4" s="243" t="s">
        <v>52</v>
      </c>
      <c r="C4" s="243" t="s">
        <v>140</v>
      </c>
      <c r="D4" s="243" t="s">
        <v>141</v>
      </c>
      <c r="E4" s="243"/>
      <c r="F4" s="243"/>
      <c r="G4" s="243">
        <v>457</v>
      </c>
      <c r="H4" s="483" t="s">
        <v>604</v>
      </c>
      <c r="I4" s="55"/>
      <c r="J4" s="401" t="s">
        <v>543</v>
      </c>
      <c r="L4" s="286" t="s">
        <v>535</v>
      </c>
      <c r="N4">
        <v>200</v>
      </c>
      <c r="O4">
        <v>300</v>
      </c>
      <c r="P4">
        <v>400</v>
      </c>
      <c r="Q4">
        <v>600</v>
      </c>
    </row>
    <row r="5" spans="1:24" x14ac:dyDescent="0.25">
      <c r="A5" s="248" t="s">
        <v>13</v>
      </c>
      <c r="B5" s="169">
        <f>Wages!B35</f>
        <v>77000</v>
      </c>
      <c r="C5" s="179">
        <v>0.10069</v>
      </c>
      <c r="D5" s="169">
        <f t="shared" ref="D5:D10" si="0">B5*C5</f>
        <v>7753.13</v>
      </c>
      <c r="E5" s="179"/>
      <c r="F5" s="169"/>
      <c r="G5" s="148">
        <v>900</v>
      </c>
      <c r="H5" s="169"/>
      <c r="I5" s="170"/>
      <c r="J5" s="399">
        <f>D5+G5+I5</f>
        <v>8653.130000000001</v>
      </c>
      <c r="L5">
        <v>4411</v>
      </c>
      <c r="N5" s="399">
        <f>J5*0.4</f>
        <v>3461.2520000000004</v>
      </c>
      <c r="O5" s="399">
        <f>J5*0.4</f>
        <v>3461.2520000000004</v>
      </c>
      <c r="P5" s="399">
        <f>J5*0.1</f>
        <v>865.3130000000001</v>
      </c>
      <c r="Q5" s="399">
        <f>J5*0.1</f>
        <v>865.3130000000001</v>
      </c>
      <c r="U5" s="248" t="s">
        <v>13</v>
      </c>
      <c r="W5" s="286" t="s">
        <v>577</v>
      </c>
      <c r="X5">
        <v>4411</v>
      </c>
    </row>
    <row r="6" spans="1:24" x14ac:dyDescent="0.25">
      <c r="A6" s="248" t="s">
        <v>14</v>
      </c>
      <c r="B6" s="169">
        <f>Wages!B36</f>
        <v>52000</v>
      </c>
      <c r="C6" s="179">
        <v>0.12361</v>
      </c>
      <c r="D6" s="169">
        <f t="shared" si="0"/>
        <v>6427.72</v>
      </c>
      <c r="E6" s="179"/>
      <c r="F6" s="169"/>
      <c r="G6" s="148">
        <v>1200</v>
      </c>
      <c r="H6" s="169"/>
      <c r="I6" s="170"/>
      <c r="J6" s="399">
        <f>D6+G6+I6</f>
        <v>7627.72</v>
      </c>
      <c r="L6">
        <v>3331</v>
      </c>
      <c r="N6" s="399">
        <f>J6*0.3</f>
        <v>2288.3159999999998</v>
      </c>
      <c r="O6" s="399">
        <f>J6*0.3</f>
        <v>2288.3159999999998</v>
      </c>
      <c r="P6" s="399">
        <f>J6*0.3</f>
        <v>2288.3159999999998</v>
      </c>
      <c r="Q6" s="399">
        <f>J6*0.1</f>
        <v>762.77200000000005</v>
      </c>
      <c r="U6" s="248" t="s">
        <v>14</v>
      </c>
      <c r="W6" s="286" t="s">
        <v>578</v>
      </c>
      <c r="X6">
        <v>3331</v>
      </c>
    </row>
    <row r="7" spans="1:24" x14ac:dyDescent="0.25">
      <c r="A7" s="248" t="s">
        <v>15</v>
      </c>
      <c r="B7" s="169">
        <f>Wages!B37</f>
        <v>35006</v>
      </c>
      <c r="C7" s="179">
        <v>7.732E-2</v>
      </c>
      <c r="D7" s="169">
        <f t="shared" si="0"/>
        <v>2706.66392</v>
      </c>
      <c r="E7" s="179"/>
      <c r="F7" s="169"/>
      <c r="G7" s="148">
        <v>1200</v>
      </c>
      <c r="H7" s="169"/>
      <c r="I7" s="170"/>
      <c r="J7" s="399">
        <f>D7+G7+I7</f>
        <v>3906.66392</v>
      </c>
      <c r="L7">
        <v>3133</v>
      </c>
      <c r="N7" s="399">
        <f>J7*0.3</f>
        <v>1171.999176</v>
      </c>
      <c r="O7" s="399">
        <f>J7*0.1</f>
        <v>390.66639200000003</v>
      </c>
      <c r="P7" s="399">
        <f>J7*0.3</f>
        <v>1171.999176</v>
      </c>
      <c r="Q7" s="399">
        <f>J7*0.3</f>
        <v>1171.999176</v>
      </c>
      <c r="U7" s="248" t="s">
        <v>15</v>
      </c>
      <c r="W7" s="286" t="s">
        <v>579</v>
      </c>
      <c r="X7">
        <v>3313</v>
      </c>
    </row>
    <row r="8" spans="1:24" x14ac:dyDescent="0.25">
      <c r="A8" s="248" t="s">
        <v>5</v>
      </c>
      <c r="B8" s="169"/>
      <c r="C8" s="179">
        <v>7.732E-2</v>
      </c>
      <c r="D8" s="169">
        <f t="shared" si="0"/>
        <v>0</v>
      </c>
      <c r="E8" s="179"/>
      <c r="F8" s="169"/>
      <c r="G8" s="148"/>
      <c r="H8" s="169"/>
      <c r="I8" s="170"/>
      <c r="U8" s="248" t="s">
        <v>5</v>
      </c>
      <c r="W8" s="286"/>
      <c r="X8">
        <v>23</v>
      </c>
    </row>
    <row r="9" spans="1:24" x14ac:dyDescent="0.25">
      <c r="A9" s="248" t="s">
        <v>6</v>
      </c>
      <c r="B9" s="169">
        <f>Wages!B5</f>
        <v>32802</v>
      </c>
      <c r="C9" s="179">
        <v>7.732E-2</v>
      </c>
      <c r="D9" s="169">
        <f t="shared" si="0"/>
        <v>2536.2506400000002</v>
      </c>
      <c r="E9" s="179"/>
      <c r="F9" s="169"/>
      <c r="G9" s="148">
        <v>900</v>
      </c>
      <c r="H9" s="169"/>
      <c r="I9" s="170"/>
      <c r="J9" s="399">
        <f>D9+G9+I9</f>
        <v>3436.2506400000002</v>
      </c>
      <c r="L9">
        <v>23</v>
      </c>
      <c r="N9" s="399">
        <f>J9*0.5</f>
        <v>1718.1253200000001</v>
      </c>
      <c r="O9" s="399">
        <f>J9*0.5</f>
        <v>1718.1253200000001</v>
      </c>
      <c r="U9" s="248" t="s">
        <v>6</v>
      </c>
      <c r="W9" s="286" t="s">
        <v>580</v>
      </c>
      <c r="X9">
        <v>23</v>
      </c>
    </row>
    <row r="10" spans="1:24" x14ac:dyDescent="0.25">
      <c r="A10" s="248" t="s">
        <v>7</v>
      </c>
      <c r="B10" s="169">
        <f>Wages!B6</f>
        <v>29266</v>
      </c>
      <c r="C10" s="179">
        <v>7.732E-2</v>
      </c>
      <c r="D10" s="169">
        <f t="shared" si="0"/>
        <v>2262.8471199999999</v>
      </c>
      <c r="E10" s="179"/>
      <c r="F10" s="169"/>
      <c r="G10" s="148">
        <v>900</v>
      </c>
      <c r="H10" s="169"/>
      <c r="I10" s="170"/>
      <c r="J10" s="399">
        <f>D10+G10+I10</f>
        <v>3162.8471199999999</v>
      </c>
      <c r="L10">
        <v>23</v>
      </c>
      <c r="N10" s="399">
        <f>J10*0.5</f>
        <v>1581.42356</v>
      </c>
      <c r="O10" s="399">
        <f>J10*0.5</f>
        <v>1581.42356</v>
      </c>
      <c r="U10" s="248" t="s">
        <v>7</v>
      </c>
      <c r="W10" s="286" t="s">
        <v>581</v>
      </c>
    </row>
    <row r="11" spans="1:24" x14ac:dyDescent="0.25">
      <c r="A11" s="248" t="s">
        <v>8</v>
      </c>
      <c r="B11" s="169">
        <f>Wages!B7</f>
        <v>23412</v>
      </c>
      <c r="C11" s="179"/>
      <c r="D11" s="169"/>
      <c r="E11" s="179"/>
      <c r="F11" s="169"/>
      <c r="G11" s="148"/>
      <c r="H11" s="169"/>
      <c r="I11" s="170"/>
      <c r="U11" s="248" t="s">
        <v>8</v>
      </c>
      <c r="W11" s="286" t="s">
        <v>582</v>
      </c>
    </row>
    <row r="12" spans="1:24" x14ac:dyDescent="0.25">
      <c r="A12" s="248" t="s">
        <v>41</v>
      </c>
      <c r="B12" s="169">
        <f>Wages!B65</f>
        <v>25000</v>
      </c>
      <c r="C12" s="180"/>
      <c r="D12" s="169"/>
      <c r="E12" s="179"/>
      <c r="F12" s="169"/>
      <c r="G12" s="148"/>
      <c r="H12" s="169"/>
      <c r="I12" s="170"/>
      <c r="U12" s="248" t="s">
        <v>41</v>
      </c>
      <c r="W12" s="286" t="s">
        <v>583</v>
      </c>
      <c r="X12">
        <v>4</v>
      </c>
    </row>
    <row r="13" spans="1:24" x14ac:dyDescent="0.25">
      <c r="A13" s="248" t="s">
        <v>205</v>
      </c>
      <c r="B13" s="169">
        <f>Wages!B66</f>
        <v>92000</v>
      </c>
      <c r="C13" s="179">
        <v>0.23674000000000001</v>
      </c>
      <c r="D13" s="169">
        <f t="shared" ref="D13:D18" si="1">B13*C13</f>
        <v>21780.080000000002</v>
      </c>
      <c r="E13" s="179"/>
      <c r="F13" s="169"/>
      <c r="G13" s="148">
        <v>200</v>
      </c>
      <c r="H13" s="169"/>
      <c r="I13" s="170"/>
      <c r="J13" s="399">
        <f t="shared" ref="J13:J18" si="2">D13+G13+I13</f>
        <v>21980.080000000002</v>
      </c>
      <c r="L13">
        <v>4</v>
      </c>
      <c r="P13" s="399">
        <f>J13</f>
        <v>21980.080000000002</v>
      </c>
      <c r="U13" s="248" t="s">
        <v>205</v>
      </c>
      <c r="W13" s="286" t="s">
        <v>584</v>
      </c>
      <c r="X13">
        <v>4</v>
      </c>
    </row>
    <row r="14" spans="1:24" x14ac:dyDescent="0.25">
      <c r="A14" s="248" t="s">
        <v>206</v>
      </c>
      <c r="B14" s="169">
        <f>Wages!B67</f>
        <v>62407</v>
      </c>
      <c r="C14" s="179">
        <v>0.13044</v>
      </c>
      <c r="D14" s="169">
        <f t="shared" si="1"/>
        <v>8140.3690800000004</v>
      </c>
      <c r="E14" s="179"/>
      <c r="F14" s="169"/>
      <c r="G14" s="148">
        <v>200</v>
      </c>
      <c r="H14" s="169"/>
      <c r="I14" s="170"/>
      <c r="J14" s="399">
        <f t="shared" si="2"/>
        <v>8340.3690800000004</v>
      </c>
      <c r="L14">
        <v>4</v>
      </c>
      <c r="P14" s="399">
        <f>J14</f>
        <v>8340.3690800000004</v>
      </c>
      <c r="U14" s="248" t="s">
        <v>206</v>
      </c>
      <c r="W14" s="286" t="s">
        <v>585</v>
      </c>
      <c r="X14">
        <v>4</v>
      </c>
    </row>
    <row r="15" spans="1:24" x14ac:dyDescent="0.25">
      <c r="A15" s="248" t="s">
        <v>207</v>
      </c>
      <c r="B15" s="169">
        <f>Wages!L68</f>
        <v>62746.22</v>
      </c>
      <c r="C15" s="179">
        <v>0.13044</v>
      </c>
      <c r="D15" s="169">
        <f t="shared" si="1"/>
        <v>8184.6169368000001</v>
      </c>
      <c r="E15" s="179"/>
      <c r="F15" s="169"/>
      <c r="G15" s="148">
        <v>200</v>
      </c>
      <c r="H15" s="169"/>
      <c r="I15" s="170"/>
      <c r="J15" s="399">
        <f t="shared" si="2"/>
        <v>8384.616936800001</v>
      </c>
      <c r="L15">
        <v>4</v>
      </c>
      <c r="P15" s="399">
        <f>J15</f>
        <v>8384.616936800001</v>
      </c>
      <c r="U15" s="248" t="s">
        <v>207</v>
      </c>
      <c r="W15" s="286" t="s">
        <v>586</v>
      </c>
      <c r="X15">
        <v>4</v>
      </c>
    </row>
    <row r="16" spans="1:24" x14ac:dyDescent="0.25">
      <c r="A16" s="248" t="s">
        <v>208</v>
      </c>
      <c r="B16" s="169">
        <f>Wages!L95</f>
        <v>98763</v>
      </c>
      <c r="C16" s="179">
        <v>0.23674000000000001</v>
      </c>
      <c r="D16" s="169">
        <f>B16*C16</f>
        <v>23381.152620000001</v>
      </c>
      <c r="E16" s="179"/>
      <c r="F16" s="169"/>
      <c r="G16" s="148">
        <v>200</v>
      </c>
      <c r="H16" s="169"/>
      <c r="I16" s="170"/>
      <c r="J16" s="399">
        <f t="shared" si="2"/>
        <v>23581.152620000001</v>
      </c>
      <c r="L16">
        <v>6</v>
      </c>
      <c r="Q16" s="399">
        <f>J16</f>
        <v>23581.152620000001</v>
      </c>
      <c r="U16" s="248" t="s">
        <v>599</v>
      </c>
      <c r="W16" s="286" t="s">
        <v>600</v>
      </c>
      <c r="X16">
        <v>6</v>
      </c>
    </row>
    <row r="17" spans="1:24" x14ac:dyDescent="0.25">
      <c r="A17" s="248" t="s">
        <v>209</v>
      </c>
      <c r="B17" s="169">
        <f>Wages!L96</f>
        <v>45800</v>
      </c>
      <c r="C17" s="179">
        <v>0.23674000000000001</v>
      </c>
      <c r="D17" s="169">
        <f t="shared" si="1"/>
        <v>10842.692000000001</v>
      </c>
      <c r="E17" s="179"/>
      <c r="F17" s="169"/>
      <c r="G17" s="148">
        <v>200</v>
      </c>
      <c r="H17" s="169"/>
      <c r="I17" s="170"/>
      <c r="J17" s="399">
        <f t="shared" si="2"/>
        <v>11042.692000000001</v>
      </c>
      <c r="L17">
        <v>6</v>
      </c>
      <c r="Q17" s="399">
        <f>J17</f>
        <v>11042.692000000001</v>
      </c>
      <c r="U17" s="248" t="s">
        <v>209</v>
      </c>
      <c r="W17" s="286" t="s">
        <v>587</v>
      </c>
      <c r="X17">
        <v>6</v>
      </c>
    </row>
    <row r="18" spans="1:24" x14ac:dyDescent="0.25">
      <c r="A18" s="248" t="s">
        <v>210</v>
      </c>
      <c r="B18" s="169">
        <f>Wages!L97</f>
        <v>80477.91</v>
      </c>
      <c r="C18" s="179">
        <v>0.13044</v>
      </c>
      <c r="D18" s="169">
        <f t="shared" si="1"/>
        <v>10497.5385804</v>
      </c>
      <c r="E18" s="179"/>
      <c r="F18" s="169"/>
      <c r="G18" s="148">
        <v>200</v>
      </c>
      <c r="H18" s="169"/>
      <c r="I18" s="170"/>
      <c r="J18" s="399">
        <f t="shared" si="2"/>
        <v>10697.5385804</v>
      </c>
      <c r="L18">
        <v>6</v>
      </c>
      <c r="Q18" s="399">
        <f>J18</f>
        <v>10697.5385804</v>
      </c>
      <c r="U18" s="248" t="s">
        <v>210</v>
      </c>
      <c r="W18" s="286" t="s">
        <v>570</v>
      </c>
      <c r="X18">
        <v>6</v>
      </c>
    </row>
    <row r="19" spans="1:24" x14ac:dyDescent="0.25">
      <c r="A19" s="248" t="s">
        <v>230</v>
      </c>
      <c r="B19" s="169"/>
      <c r="C19" s="179"/>
      <c r="D19" s="169"/>
      <c r="E19" s="179"/>
      <c r="F19" s="169"/>
      <c r="G19" s="148"/>
      <c r="H19" s="169"/>
      <c r="I19" s="170"/>
      <c r="J19" s="399">
        <f>D19+G19</f>
        <v>0</v>
      </c>
      <c r="L19">
        <v>6</v>
      </c>
      <c r="Q19" s="399">
        <f>J19</f>
        <v>0</v>
      </c>
      <c r="U19" s="248" t="s">
        <v>230</v>
      </c>
      <c r="W19" s="286"/>
    </row>
    <row r="20" spans="1:24" x14ac:dyDescent="0.25">
      <c r="A20" s="248" t="s">
        <v>536</v>
      </c>
      <c r="B20" s="169"/>
      <c r="C20" s="179"/>
      <c r="D20" s="169"/>
      <c r="E20" s="179"/>
      <c r="F20" s="169"/>
      <c r="G20" s="148"/>
      <c r="H20" s="169"/>
      <c r="I20" s="170"/>
      <c r="J20" s="399"/>
      <c r="K20" s="399"/>
      <c r="L20" t="s">
        <v>534</v>
      </c>
      <c r="N20" s="399">
        <f>I20/2</f>
        <v>0</v>
      </c>
      <c r="O20" s="399">
        <f>I20/2</f>
        <v>0</v>
      </c>
      <c r="U20" s="248" t="s">
        <v>536</v>
      </c>
      <c r="W20" s="286" t="s">
        <v>571</v>
      </c>
      <c r="X20">
        <v>23</v>
      </c>
    </row>
    <row r="21" spans="1:24" x14ac:dyDescent="0.25">
      <c r="A21" s="248" t="s">
        <v>537</v>
      </c>
      <c r="B21" s="169"/>
      <c r="C21" s="179"/>
      <c r="D21" s="169"/>
      <c r="E21" s="179"/>
      <c r="F21" s="169"/>
      <c r="G21" s="148"/>
      <c r="H21" s="169"/>
      <c r="I21" s="170"/>
      <c r="J21" s="399"/>
      <c r="K21" s="15"/>
      <c r="L21">
        <v>4</v>
      </c>
      <c r="P21" s="15">
        <f>I21</f>
        <v>0</v>
      </c>
      <c r="U21" s="248" t="s">
        <v>537</v>
      </c>
      <c r="W21" s="286" t="s">
        <v>572</v>
      </c>
      <c r="X21">
        <v>4</v>
      </c>
    </row>
    <row r="22" spans="1:24" x14ac:dyDescent="0.25">
      <c r="A22" s="248" t="s">
        <v>538</v>
      </c>
      <c r="B22" s="169"/>
      <c r="C22" s="179"/>
      <c r="D22" s="169"/>
      <c r="E22" s="179"/>
      <c r="F22" s="169"/>
      <c r="G22" s="148"/>
      <c r="H22" s="169"/>
      <c r="I22" s="170"/>
      <c r="J22" s="399"/>
      <c r="K22" s="399"/>
      <c r="L22" s="398" t="s">
        <v>534</v>
      </c>
      <c r="N22" s="399">
        <f>I22/2</f>
        <v>0</v>
      </c>
      <c r="O22" s="399">
        <f>I22/2</f>
        <v>0</v>
      </c>
      <c r="U22" s="248" t="s">
        <v>538</v>
      </c>
      <c r="W22" s="286" t="s">
        <v>573</v>
      </c>
      <c r="X22">
        <v>23</v>
      </c>
    </row>
    <row r="23" spans="1:24" x14ac:dyDescent="0.25">
      <c r="A23" s="248" t="s">
        <v>539</v>
      </c>
      <c r="B23" s="169"/>
      <c r="C23" s="179"/>
      <c r="D23" s="169"/>
      <c r="E23" s="179"/>
      <c r="F23" s="169"/>
      <c r="G23" s="148"/>
      <c r="H23" s="169"/>
      <c r="I23" s="170"/>
      <c r="J23" s="399"/>
      <c r="K23" s="15"/>
      <c r="L23" t="s">
        <v>534</v>
      </c>
      <c r="N23" s="15">
        <f>I23/2</f>
        <v>0</v>
      </c>
      <c r="O23" s="15">
        <f>I23/2</f>
        <v>0</v>
      </c>
      <c r="U23" s="248" t="s">
        <v>539</v>
      </c>
      <c r="W23" s="286" t="s">
        <v>574</v>
      </c>
      <c r="X23">
        <v>23</v>
      </c>
    </row>
    <row r="24" spans="1:24" x14ac:dyDescent="0.25">
      <c r="A24" s="248" t="s">
        <v>540</v>
      </c>
      <c r="B24" s="169"/>
      <c r="C24" s="179"/>
      <c r="D24" s="169"/>
      <c r="E24" s="179"/>
      <c r="F24" s="169"/>
      <c r="G24" s="148"/>
      <c r="H24" s="169"/>
      <c r="I24" s="170"/>
      <c r="J24" s="399"/>
      <c r="K24" s="15"/>
      <c r="L24">
        <v>6</v>
      </c>
      <c r="Q24" s="15">
        <f>I24</f>
        <v>0</v>
      </c>
      <c r="U24" s="248" t="s">
        <v>540</v>
      </c>
      <c r="W24" s="286" t="s">
        <v>575</v>
      </c>
      <c r="X24">
        <v>6</v>
      </c>
    </row>
    <row r="25" spans="1:24" x14ac:dyDescent="0.25">
      <c r="A25" s="248" t="s">
        <v>541</v>
      </c>
      <c r="B25" s="169"/>
      <c r="C25" s="179"/>
      <c r="D25" s="169"/>
      <c r="E25" s="179"/>
      <c r="F25" s="169"/>
      <c r="G25" s="148"/>
      <c r="H25" s="169"/>
      <c r="I25" s="170"/>
      <c r="J25" s="399"/>
      <c r="K25" s="15"/>
      <c r="L25">
        <v>4</v>
      </c>
      <c r="P25" s="15">
        <f>I25</f>
        <v>0</v>
      </c>
      <c r="U25" s="248" t="s">
        <v>541</v>
      </c>
      <c r="W25" s="286" t="s">
        <v>576</v>
      </c>
      <c r="X25">
        <v>4</v>
      </c>
    </row>
    <row r="26" spans="1:24" x14ac:dyDescent="0.25">
      <c r="A26" s="43"/>
      <c r="B26" s="169"/>
      <c r="C26" s="179"/>
      <c r="D26" s="181"/>
      <c r="E26" s="147"/>
      <c r="F26" s="140"/>
      <c r="G26" s="148"/>
      <c r="H26" s="521">
        <v>10395.58</v>
      </c>
      <c r="I26" s="147"/>
    </row>
    <row r="27" spans="1:24" x14ac:dyDescent="0.25">
      <c r="A27" s="43"/>
      <c r="B27" s="169"/>
      <c r="C27" s="179"/>
      <c r="D27" s="181"/>
      <c r="E27" s="147"/>
      <c r="F27" s="140"/>
      <c r="G27" s="148"/>
      <c r="H27" s="521"/>
      <c r="I27" s="147"/>
      <c r="J27" s="311" t="s">
        <v>542</v>
      </c>
      <c r="K27" s="311"/>
      <c r="L27" s="311"/>
      <c r="M27" s="311"/>
      <c r="N27" s="524"/>
      <c r="O27" s="524"/>
      <c r="P27" s="524"/>
      <c r="Q27" s="524"/>
    </row>
    <row r="28" spans="1:24" x14ac:dyDescent="0.25">
      <c r="A28" s="53" t="s">
        <v>59</v>
      </c>
      <c r="B28" s="169"/>
      <c r="C28" s="170"/>
      <c r="D28" s="522">
        <f>SUM(D5:D26)</f>
        <v>104513.0608972</v>
      </c>
      <c r="E28" s="170"/>
      <c r="F28" s="169"/>
      <c r="G28" s="258">
        <f>SUM(G5:G26)</f>
        <v>6300</v>
      </c>
      <c r="H28" s="195">
        <f>H26*12</f>
        <v>124746.95999999999</v>
      </c>
      <c r="I28" s="173"/>
      <c r="J28" s="311">
        <v>2024.91</v>
      </c>
      <c r="K28" s="311">
        <v>2024.91</v>
      </c>
      <c r="L28" s="311">
        <v>3173.87</v>
      </c>
      <c r="M28" s="311">
        <v>3173.88</v>
      </c>
      <c r="N28" s="524">
        <f>J28*12</f>
        <v>24298.920000000002</v>
      </c>
      <c r="O28" s="524">
        <f>K28*12</f>
        <v>24298.920000000002</v>
      </c>
      <c r="P28" s="524">
        <f>L28*12</f>
        <v>38086.44</v>
      </c>
      <c r="Q28" s="524">
        <f>M28*12</f>
        <v>38086.559999999998</v>
      </c>
    </row>
    <row r="30" spans="1:24" x14ac:dyDescent="0.25">
      <c r="A30" s="245"/>
      <c r="B30" s="3"/>
      <c r="C30" s="8"/>
      <c r="D30" s="402">
        <f>SUM(D28:D29)</f>
        <v>104513.0608972</v>
      </c>
      <c r="E30" s="3"/>
      <c r="G30" s="13">
        <f>SUM(G28:G29)</f>
        <v>6300</v>
      </c>
      <c r="H30" s="4"/>
      <c r="I30" s="15"/>
      <c r="J30" s="15">
        <f>SUM(D30:I30)</f>
        <v>110813.0608972</v>
      </c>
      <c r="N30" s="399">
        <f>SUM(N5:N29)</f>
        <v>34520.036055999997</v>
      </c>
      <c r="O30" s="399">
        <f>SUM(O5:O29)</f>
        <v>33738.703271999999</v>
      </c>
      <c r="P30" s="399">
        <f>SUM(P5:P29)</f>
        <v>81117.134192800004</v>
      </c>
      <c r="Q30" s="399">
        <f>SUM(Q5:Q29)</f>
        <v>86208.027376400001</v>
      </c>
      <c r="S30" s="399">
        <f>SUM(N30:R30)</f>
        <v>235583.90089719999</v>
      </c>
    </row>
    <row r="31" spans="1:24" x14ac:dyDescent="0.25">
      <c r="A31" s="5"/>
      <c r="B31" s="4"/>
      <c r="C31" s="6"/>
      <c r="D31" s="6"/>
      <c r="H31" s="4">
        <f>H27*12</f>
        <v>0</v>
      </c>
    </row>
    <row r="32" spans="1:24" x14ac:dyDescent="0.25">
      <c r="A32" s="5"/>
      <c r="B32" s="4"/>
      <c r="C32" s="6"/>
      <c r="D32" s="6"/>
    </row>
    <row r="33" spans="1:15" x14ac:dyDescent="0.25">
      <c r="C33" s="6"/>
      <c r="D33" s="6"/>
      <c r="E33" s="526"/>
      <c r="F33" s="526"/>
      <c r="G33" s="6"/>
      <c r="H33" s="4"/>
    </row>
    <row r="34" spans="1:15" x14ac:dyDescent="0.25">
      <c r="C34" s="35"/>
      <c r="D34" s="35"/>
      <c r="E34" s="35"/>
      <c r="F34" s="35"/>
      <c r="G34" s="35"/>
      <c r="H34" s="4"/>
    </row>
    <row r="35" spans="1:15" x14ac:dyDescent="0.25">
      <c r="C35" s="35"/>
      <c r="D35" s="35"/>
      <c r="E35" s="35"/>
      <c r="F35" s="35"/>
      <c r="G35" s="35"/>
      <c r="H35" s="4"/>
    </row>
    <row r="36" spans="1:15" x14ac:dyDescent="0.25">
      <c r="C36" s="35"/>
      <c r="D36" s="35"/>
      <c r="E36" s="35"/>
      <c r="F36" s="35"/>
      <c r="G36" s="35"/>
      <c r="H36" s="4"/>
    </row>
    <row r="37" spans="1:15" x14ac:dyDescent="0.25">
      <c r="C37" s="35"/>
      <c r="D37" s="35"/>
      <c r="E37" s="35"/>
      <c r="F37" s="35"/>
      <c r="G37" s="35"/>
      <c r="H37" s="4"/>
      <c r="L37" s="248" t="s">
        <v>13</v>
      </c>
      <c r="N37" s="286" t="s">
        <v>577</v>
      </c>
      <c r="O37">
        <v>4411</v>
      </c>
    </row>
    <row r="38" spans="1:15" x14ac:dyDescent="0.25">
      <c r="C38" s="35"/>
      <c r="D38" s="35"/>
      <c r="E38" s="35"/>
      <c r="F38" s="35"/>
      <c r="G38" s="35"/>
      <c r="H38" s="4"/>
      <c r="L38" s="248" t="s">
        <v>14</v>
      </c>
      <c r="N38" s="286" t="s">
        <v>578</v>
      </c>
      <c r="O38">
        <v>3331</v>
      </c>
    </row>
    <row r="39" spans="1:15" x14ac:dyDescent="0.25">
      <c r="C39" s="35"/>
      <c r="D39" s="35"/>
      <c r="E39" s="35"/>
      <c r="F39" s="35"/>
      <c r="G39" s="35"/>
      <c r="H39" s="4"/>
      <c r="L39" s="248" t="s">
        <v>15</v>
      </c>
      <c r="N39" s="286" t="s">
        <v>579</v>
      </c>
      <c r="O39">
        <v>3313</v>
      </c>
    </row>
    <row r="40" spans="1:15" x14ac:dyDescent="0.25">
      <c r="C40" s="35"/>
      <c r="D40" s="35"/>
      <c r="E40" s="35"/>
      <c r="F40" s="35"/>
      <c r="G40" s="35"/>
      <c r="H40" s="4"/>
      <c r="L40" s="248" t="s">
        <v>5</v>
      </c>
      <c r="N40" s="286"/>
      <c r="O40">
        <v>23</v>
      </c>
    </row>
    <row r="41" spans="1:15" x14ac:dyDescent="0.25">
      <c r="C41" s="6"/>
      <c r="D41" s="6"/>
      <c r="L41" s="248" t="s">
        <v>6</v>
      </c>
      <c r="N41" s="286" t="s">
        <v>580</v>
      </c>
      <c r="O41">
        <v>23</v>
      </c>
    </row>
    <row r="42" spans="1:15" x14ac:dyDescent="0.25">
      <c r="C42" s="6"/>
      <c r="D42" s="6"/>
      <c r="E42" s="6"/>
      <c r="F42" s="527"/>
      <c r="G42" s="527"/>
      <c r="L42" s="248" t="s">
        <v>7</v>
      </c>
      <c r="N42" s="286" t="s">
        <v>581</v>
      </c>
    </row>
    <row r="43" spans="1:15" ht="18.75" x14ac:dyDescent="0.3">
      <c r="A43" s="525" t="s">
        <v>612</v>
      </c>
      <c r="B43" s="525"/>
      <c r="C43" s="525"/>
      <c r="D43" s="525"/>
      <c r="E43" s="525"/>
      <c r="F43" s="525"/>
      <c r="G43" s="525"/>
      <c r="H43" s="37"/>
      <c r="L43" s="248" t="s">
        <v>8</v>
      </c>
      <c r="N43" s="286" t="s">
        <v>582</v>
      </c>
    </row>
    <row r="44" spans="1:15" x14ac:dyDescent="0.25">
      <c r="A44" s="41" t="s">
        <v>81</v>
      </c>
      <c r="B44" s="42" t="s">
        <v>9</v>
      </c>
      <c r="C44" s="43"/>
      <c r="D44" s="42" t="s">
        <v>10</v>
      </c>
      <c r="E44" s="43"/>
      <c r="F44" s="42" t="s">
        <v>16</v>
      </c>
      <c r="G44" s="43"/>
      <c r="H44" s="42" t="s">
        <v>17</v>
      </c>
      <c r="L44" s="248" t="s">
        <v>41</v>
      </c>
      <c r="N44" s="286" t="s">
        <v>583</v>
      </c>
      <c r="O44">
        <v>4</v>
      </c>
    </row>
    <row r="45" spans="1:15" x14ac:dyDescent="0.25">
      <c r="A45" s="249" t="s">
        <v>13</v>
      </c>
      <c r="B45" s="178">
        <f>N5</f>
        <v>3461.2520000000004</v>
      </c>
      <c r="C45" s="154"/>
      <c r="D45" s="178">
        <f>O5</f>
        <v>3461.2520000000004</v>
      </c>
      <c r="E45" s="154"/>
      <c r="F45" s="178">
        <f>P5</f>
        <v>865.3130000000001</v>
      </c>
      <c r="G45" s="154"/>
      <c r="H45" s="178">
        <f>Q5</f>
        <v>865.3130000000001</v>
      </c>
      <c r="L45" s="248" t="s">
        <v>205</v>
      </c>
      <c r="N45" s="286" t="s">
        <v>584</v>
      </c>
      <c r="O45">
        <v>4</v>
      </c>
    </row>
    <row r="46" spans="1:15" x14ac:dyDescent="0.25">
      <c r="A46" s="249" t="s">
        <v>14</v>
      </c>
      <c r="B46" s="178">
        <f>N6</f>
        <v>2288.3159999999998</v>
      </c>
      <c r="C46" s="154"/>
      <c r="D46" s="178">
        <f>O6</f>
        <v>2288.3159999999998</v>
      </c>
      <c r="E46" s="154"/>
      <c r="F46" s="178">
        <f>P6</f>
        <v>2288.3159999999998</v>
      </c>
      <c r="G46" s="154"/>
      <c r="H46" s="178">
        <f>Q6</f>
        <v>762.77200000000005</v>
      </c>
      <c r="L46" s="248" t="s">
        <v>206</v>
      </c>
      <c r="N46" s="286" t="s">
        <v>585</v>
      </c>
      <c r="O46">
        <v>4</v>
      </c>
    </row>
    <row r="47" spans="1:15" x14ac:dyDescent="0.25">
      <c r="A47" s="249" t="s">
        <v>15</v>
      </c>
      <c r="B47" s="178">
        <f>N7</f>
        <v>1171.999176</v>
      </c>
      <c r="C47" s="154"/>
      <c r="D47" s="178">
        <f>O7</f>
        <v>390.66639200000003</v>
      </c>
      <c r="E47" s="154"/>
      <c r="F47" s="178">
        <f>P7</f>
        <v>1171.999176</v>
      </c>
      <c r="G47" s="154"/>
      <c r="H47" s="178">
        <f>Q7</f>
        <v>1171.999176</v>
      </c>
      <c r="L47" s="248" t="s">
        <v>207</v>
      </c>
      <c r="N47" s="286" t="s">
        <v>586</v>
      </c>
      <c r="O47">
        <v>4</v>
      </c>
    </row>
    <row r="48" spans="1:15" x14ac:dyDescent="0.25">
      <c r="A48" s="249"/>
      <c r="B48" s="178"/>
      <c r="C48" s="154"/>
      <c r="D48" s="178"/>
      <c r="E48" s="154"/>
      <c r="F48" s="178"/>
      <c r="G48" s="154"/>
      <c r="H48" s="148"/>
      <c r="L48" s="248" t="s">
        <v>599</v>
      </c>
      <c r="N48" s="286" t="s">
        <v>600</v>
      </c>
      <c r="O48">
        <v>6</v>
      </c>
    </row>
    <row r="49" spans="1:15" x14ac:dyDescent="0.25">
      <c r="A49" s="249" t="s">
        <v>5</v>
      </c>
      <c r="B49" s="178">
        <f>H8*0.5</f>
        <v>0</v>
      </c>
      <c r="C49" s="154"/>
      <c r="D49" s="178">
        <f>H8*0.5</f>
        <v>0</v>
      </c>
      <c r="E49" s="154"/>
      <c r="F49" s="178"/>
      <c r="G49" s="154"/>
      <c r="H49" s="148"/>
      <c r="L49" s="248" t="s">
        <v>209</v>
      </c>
      <c r="N49" s="286" t="s">
        <v>587</v>
      </c>
      <c r="O49">
        <v>6</v>
      </c>
    </row>
    <row r="50" spans="1:15" x14ac:dyDescent="0.25">
      <c r="A50" s="249" t="s">
        <v>6</v>
      </c>
      <c r="B50" s="178">
        <f>N9</f>
        <v>1718.1253200000001</v>
      </c>
      <c r="C50" s="154"/>
      <c r="D50" s="178">
        <f>O9</f>
        <v>1718.1253200000001</v>
      </c>
      <c r="E50" s="154"/>
      <c r="F50" s="178"/>
      <c r="G50" s="154"/>
      <c r="H50" s="148"/>
      <c r="L50" s="248" t="s">
        <v>210</v>
      </c>
      <c r="N50" s="286" t="s">
        <v>570</v>
      </c>
      <c r="O50">
        <v>6</v>
      </c>
    </row>
    <row r="51" spans="1:15" x14ac:dyDescent="0.25">
      <c r="A51" s="249" t="s">
        <v>7</v>
      </c>
      <c r="B51" s="178">
        <f>N10</f>
        <v>1581.42356</v>
      </c>
      <c r="C51" s="154"/>
      <c r="D51" s="178">
        <f>O10</f>
        <v>1581.42356</v>
      </c>
      <c r="E51" s="154"/>
      <c r="F51" s="178"/>
      <c r="G51" s="154"/>
      <c r="H51" s="148"/>
      <c r="L51" s="248" t="s">
        <v>230</v>
      </c>
      <c r="N51" s="286"/>
    </row>
    <row r="52" spans="1:15" x14ac:dyDescent="0.25">
      <c r="A52" s="249" t="s">
        <v>8</v>
      </c>
      <c r="B52" s="148"/>
      <c r="C52" s="154"/>
      <c r="D52" s="178"/>
      <c r="E52" s="154"/>
      <c r="F52" s="178"/>
      <c r="G52" s="154"/>
      <c r="H52" s="148"/>
      <c r="L52" s="248" t="s">
        <v>536</v>
      </c>
      <c r="N52" s="286" t="s">
        <v>571</v>
      </c>
      <c r="O52">
        <v>23</v>
      </c>
    </row>
    <row r="53" spans="1:15" x14ac:dyDescent="0.25">
      <c r="A53" s="249" t="s">
        <v>41</v>
      </c>
      <c r="B53" s="148"/>
      <c r="C53" s="154"/>
      <c r="D53" s="178"/>
      <c r="E53" s="154"/>
      <c r="F53" s="178"/>
      <c r="G53" s="154"/>
      <c r="H53" s="148"/>
      <c r="L53" s="248" t="s">
        <v>537</v>
      </c>
      <c r="N53" s="286" t="s">
        <v>572</v>
      </c>
      <c r="O53">
        <v>4</v>
      </c>
    </row>
    <row r="54" spans="1:15" x14ac:dyDescent="0.25">
      <c r="A54" s="249" t="s">
        <v>211</v>
      </c>
      <c r="B54" s="148"/>
      <c r="C54" s="154"/>
      <c r="D54" s="178"/>
      <c r="E54" s="154"/>
      <c r="F54" s="178">
        <f>P13</f>
        <v>21980.080000000002</v>
      </c>
      <c r="G54" s="154"/>
      <c r="H54" s="148"/>
      <c r="L54" s="248" t="s">
        <v>538</v>
      </c>
      <c r="N54" s="286" t="s">
        <v>573</v>
      </c>
      <c r="O54">
        <v>23</v>
      </c>
    </row>
    <row r="55" spans="1:15" x14ac:dyDescent="0.25">
      <c r="A55" s="249" t="s">
        <v>212</v>
      </c>
      <c r="B55" s="148"/>
      <c r="C55" s="154"/>
      <c r="D55" s="148"/>
      <c r="E55" s="154"/>
      <c r="F55" s="178">
        <f>P14</f>
        <v>8340.3690800000004</v>
      </c>
      <c r="G55" s="154"/>
      <c r="H55" s="148"/>
      <c r="L55" s="248" t="s">
        <v>539</v>
      </c>
      <c r="N55" s="286" t="s">
        <v>574</v>
      </c>
      <c r="O55">
        <v>23</v>
      </c>
    </row>
    <row r="56" spans="1:15" x14ac:dyDescent="0.25">
      <c r="A56" s="249" t="s">
        <v>214</v>
      </c>
      <c r="B56" s="148"/>
      <c r="C56" s="154"/>
      <c r="D56" s="148"/>
      <c r="E56" s="154"/>
      <c r="F56" s="178">
        <f>P15</f>
        <v>8384.616936800001</v>
      </c>
      <c r="G56" s="154"/>
      <c r="H56" s="148"/>
      <c r="L56" s="248" t="s">
        <v>540</v>
      </c>
      <c r="N56" s="286" t="s">
        <v>575</v>
      </c>
      <c r="O56">
        <v>6</v>
      </c>
    </row>
    <row r="57" spans="1:15" x14ac:dyDescent="0.25">
      <c r="A57" s="249" t="s">
        <v>213</v>
      </c>
      <c r="B57" s="148"/>
      <c r="C57" s="154"/>
      <c r="D57" s="148"/>
      <c r="E57" s="154"/>
      <c r="F57" s="178"/>
      <c r="G57" s="154"/>
      <c r="H57" s="178">
        <f>Q16</f>
        <v>23581.152620000001</v>
      </c>
      <c r="L57" s="248" t="s">
        <v>541</v>
      </c>
      <c r="N57" s="286" t="s">
        <v>576</v>
      </c>
      <c r="O57">
        <v>4</v>
      </c>
    </row>
    <row r="58" spans="1:15" x14ac:dyDescent="0.25">
      <c r="A58" s="249" t="s">
        <v>215</v>
      </c>
      <c r="B58" s="148"/>
      <c r="C58" s="154"/>
      <c r="D58" s="178"/>
      <c r="E58" s="154"/>
      <c r="F58" s="178"/>
      <c r="G58" s="154"/>
      <c r="H58" s="178">
        <f>Q17</f>
        <v>11042.692000000001</v>
      </c>
    </row>
    <row r="59" spans="1:15" x14ac:dyDescent="0.25">
      <c r="A59" s="249" t="s">
        <v>216</v>
      </c>
      <c r="B59" s="148"/>
      <c r="C59" s="154"/>
      <c r="D59" s="178"/>
      <c r="E59" s="154"/>
      <c r="F59" s="178"/>
      <c r="G59" s="154"/>
      <c r="H59" s="178">
        <f>D18+Q18</f>
        <v>21195.0771608</v>
      </c>
    </row>
    <row r="60" spans="1:15" x14ac:dyDescent="0.25">
      <c r="A60" s="249" t="s">
        <v>235</v>
      </c>
      <c r="B60" s="148"/>
      <c r="C60" s="154"/>
      <c r="D60" s="178"/>
      <c r="E60" s="154"/>
      <c r="F60" s="178"/>
      <c r="G60" s="154"/>
      <c r="H60" s="178">
        <f>D19</f>
        <v>0</v>
      </c>
    </row>
    <row r="61" spans="1:15" x14ac:dyDescent="0.25">
      <c r="A61" s="249" t="s">
        <v>625</v>
      </c>
      <c r="B61" s="148">
        <f>N28</f>
        <v>24298.920000000002</v>
      </c>
      <c r="C61" s="154"/>
      <c r="D61" s="178">
        <f>O28</f>
        <v>24298.920000000002</v>
      </c>
      <c r="E61" s="154"/>
      <c r="F61" s="178">
        <f>P28</f>
        <v>38086.44</v>
      </c>
      <c r="G61" s="154"/>
      <c r="H61" s="178">
        <f>Q28</f>
        <v>38086.559999999998</v>
      </c>
    </row>
    <row r="62" spans="1:15" x14ac:dyDescent="0.25">
      <c r="A62" s="249"/>
      <c r="B62" s="258">
        <f>SUM(B45:B61)</f>
        <v>34520.036055999997</v>
      </c>
      <c r="C62" s="154"/>
      <c r="D62" s="482">
        <f>SUM(D45:D61)</f>
        <v>33738.703271999999</v>
      </c>
      <c r="E62" s="154"/>
      <c r="F62" s="482">
        <f>SUM(F45:F61)</f>
        <v>81117.134192800004</v>
      </c>
      <c r="G62" s="154"/>
      <c r="H62" s="482">
        <f>SUM(H45:H61)</f>
        <v>96705.565956799997</v>
      </c>
    </row>
    <row r="63" spans="1:15" x14ac:dyDescent="0.25">
      <c r="A63" s="249"/>
      <c r="B63" s="154"/>
      <c r="C63" s="154"/>
      <c r="D63" s="177"/>
      <c r="E63" s="154"/>
      <c r="F63" s="177"/>
      <c r="G63" s="154"/>
      <c r="H63" s="177"/>
    </row>
  </sheetData>
  <mergeCells count="4">
    <mergeCell ref="A43:G43"/>
    <mergeCell ref="A1:H1"/>
    <mergeCell ref="E33:F33"/>
    <mergeCell ref="F42:G42"/>
  </mergeCells>
  <pageMargins left="0.7" right="0.7" top="0.75" bottom="0.75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57"/>
  <sheetViews>
    <sheetView topLeftCell="A31" workbookViewId="0">
      <selection activeCell="B54" sqref="B54"/>
    </sheetView>
  </sheetViews>
  <sheetFormatPr defaultRowHeight="15" x14ac:dyDescent="0.25"/>
  <cols>
    <col min="1" max="1" width="30.5703125" customWidth="1"/>
    <col min="2" max="2" width="10.140625" customWidth="1"/>
    <col min="4" max="4" width="12.5703125" customWidth="1"/>
    <col min="5" max="5" width="11" customWidth="1"/>
    <col min="6" max="6" width="14" customWidth="1"/>
    <col min="8" max="8" width="17" customWidth="1"/>
  </cols>
  <sheetData>
    <row r="1" spans="1:18" x14ac:dyDescent="0.25">
      <c r="A1" s="6"/>
      <c r="B1" s="6"/>
      <c r="C1" s="6"/>
      <c r="D1" s="6"/>
      <c r="E1" s="6"/>
    </row>
    <row r="2" spans="1:18" ht="14.25" customHeight="1" x14ac:dyDescent="0.25">
      <c r="A2" s="6"/>
    </row>
    <row r="3" spans="1:18" ht="27" customHeight="1" x14ac:dyDescent="0.3">
      <c r="A3" s="20"/>
      <c r="B3" s="21"/>
      <c r="C3" s="22" t="s">
        <v>130</v>
      </c>
      <c r="D3" s="21"/>
      <c r="E3" s="21"/>
      <c r="F3" s="21"/>
      <c r="G3" s="21"/>
      <c r="H3" s="23"/>
      <c r="O3" s="248" t="s">
        <v>13</v>
      </c>
      <c r="Q3" s="286" t="s">
        <v>577</v>
      </c>
      <c r="R3">
        <v>4411</v>
      </c>
    </row>
    <row r="4" spans="1:18" ht="34.5" customHeight="1" x14ac:dyDescent="0.3">
      <c r="A4" s="24" t="s">
        <v>51</v>
      </c>
      <c r="B4" s="186" t="s">
        <v>52</v>
      </c>
      <c r="C4" s="187"/>
      <c r="D4" s="186" t="s">
        <v>131</v>
      </c>
      <c r="E4" s="187"/>
      <c r="F4" s="188" t="s">
        <v>135</v>
      </c>
      <c r="G4" s="189"/>
      <c r="H4" s="190" t="s">
        <v>132</v>
      </c>
      <c r="O4" s="248" t="s">
        <v>14</v>
      </c>
      <c r="Q4" s="286" t="s">
        <v>578</v>
      </c>
      <c r="R4">
        <v>3331</v>
      </c>
    </row>
    <row r="5" spans="1:18" x14ac:dyDescent="0.25">
      <c r="A5" s="183" t="s">
        <v>13</v>
      </c>
      <c r="B5" s="170">
        <f>Wages!B35</f>
        <v>77000</v>
      </c>
      <c r="C5" s="147"/>
      <c r="D5" s="179">
        <v>3.2000000000000003E-4</v>
      </c>
      <c r="E5" s="147"/>
      <c r="F5" s="170"/>
      <c r="G5" s="170"/>
      <c r="H5" s="170">
        <f>F5*4</f>
        <v>0</v>
      </c>
      <c r="O5" s="248" t="s">
        <v>15</v>
      </c>
      <c r="Q5" s="286" t="s">
        <v>579</v>
      </c>
      <c r="R5">
        <v>3313</v>
      </c>
    </row>
    <row r="6" spans="1:18" x14ac:dyDescent="0.25">
      <c r="A6" s="184" t="s">
        <v>14</v>
      </c>
      <c r="B6" s="170">
        <f>Wages!B36</f>
        <v>52000</v>
      </c>
      <c r="C6" s="147"/>
      <c r="D6" s="179">
        <v>3.2000000000000003E-4</v>
      </c>
      <c r="E6" s="147"/>
      <c r="F6" s="170">
        <f>B6*D6</f>
        <v>16.64</v>
      </c>
      <c r="G6" s="170"/>
      <c r="H6" s="170">
        <f>F6*4</f>
        <v>66.56</v>
      </c>
      <c r="O6" s="248" t="s">
        <v>5</v>
      </c>
      <c r="Q6" s="286"/>
      <c r="R6">
        <v>23</v>
      </c>
    </row>
    <row r="7" spans="1:18" x14ac:dyDescent="0.25">
      <c r="A7" s="184" t="s">
        <v>15</v>
      </c>
      <c r="B7" s="170">
        <f>Wages!L37</f>
        <v>37552.800000000003</v>
      </c>
      <c r="C7" s="147"/>
      <c r="D7" s="179">
        <v>3.2000000000000003E-4</v>
      </c>
      <c r="E7" s="147"/>
      <c r="F7" s="170">
        <f>B7*D7</f>
        <v>12.016896000000003</v>
      </c>
      <c r="G7" s="170"/>
      <c r="H7" s="170">
        <f>F7*4</f>
        <v>48.067584000000011</v>
      </c>
      <c r="K7" t="s">
        <v>106</v>
      </c>
      <c r="O7" s="248" t="s">
        <v>6</v>
      </c>
      <c r="Q7" s="286" t="s">
        <v>580</v>
      </c>
      <c r="R7">
        <v>23</v>
      </c>
    </row>
    <row r="8" spans="1:18" x14ac:dyDescent="0.25">
      <c r="A8" s="184"/>
      <c r="B8" s="170"/>
      <c r="C8" s="147"/>
      <c r="D8" s="179"/>
      <c r="E8" s="147"/>
      <c r="F8" s="170"/>
      <c r="G8" s="170"/>
      <c r="H8" s="170"/>
      <c r="O8" s="248" t="s">
        <v>7</v>
      </c>
      <c r="Q8" s="286" t="s">
        <v>581</v>
      </c>
    </row>
    <row r="9" spans="1:18" x14ac:dyDescent="0.25">
      <c r="A9" s="184" t="s">
        <v>5</v>
      </c>
      <c r="B9" s="170">
        <f>Wages!L4</f>
        <v>0</v>
      </c>
      <c r="C9" s="147"/>
      <c r="D9" s="179">
        <v>4.1200000000000001E-2</v>
      </c>
      <c r="E9" s="147"/>
      <c r="F9" s="170">
        <f t="shared" ref="F9:F20" si="0">B9*D9</f>
        <v>0</v>
      </c>
      <c r="G9" s="170"/>
      <c r="H9" s="170">
        <f t="shared" ref="H9:H21" si="1">F9*4</f>
        <v>0</v>
      </c>
      <c r="O9" s="248" t="s">
        <v>8</v>
      </c>
      <c r="Q9" s="286" t="s">
        <v>582</v>
      </c>
    </row>
    <row r="10" spans="1:18" x14ac:dyDescent="0.25">
      <c r="A10" s="184" t="s">
        <v>6</v>
      </c>
      <c r="B10" s="170">
        <f>Wages!L5</f>
        <v>34614.080000000002</v>
      </c>
      <c r="C10" s="147"/>
      <c r="D10" s="179">
        <v>4.1200000000000001E-2</v>
      </c>
      <c r="E10" s="147"/>
      <c r="F10" s="170">
        <f t="shared" si="0"/>
        <v>1426.1000960000001</v>
      </c>
      <c r="G10" s="170"/>
      <c r="H10" s="170">
        <f t="shared" si="1"/>
        <v>5704.4003840000005</v>
      </c>
      <c r="O10" s="248" t="s">
        <v>41</v>
      </c>
      <c r="Q10" s="286" t="s">
        <v>583</v>
      </c>
      <c r="R10">
        <v>4</v>
      </c>
    </row>
    <row r="11" spans="1:18" x14ac:dyDescent="0.25">
      <c r="A11" s="184" t="s">
        <v>7</v>
      </c>
      <c r="B11" s="170">
        <f>Wages!L6</f>
        <v>31229.3</v>
      </c>
      <c r="C11" s="147"/>
      <c r="D11" s="179">
        <v>4.1200000000000001E-2</v>
      </c>
      <c r="E11" s="147"/>
      <c r="F11" s="170">
        <f t="shared" si="0"/>
        <v>1286.64716</v>
      </c>
      <c r="G11" s="170"/>
      <c r="H11" s="170">
        <f t="shared" si="1"/>
        <v>5146.5886399999999</v>
      </c>
      <c r="O11" s="248" t="s">
        <v>205</v>
      </c>
      <c r="Q11" s="286" t="s">
        <v>584</v>
      </c>
      <c r="R11">
        <v>4</v>
      </c>
    </row>
    <row r="12" spans="1:18" x14ac:dyDescent="0.25">
      <c r="A12" s="184" t="s">
        <v>8</v>
      </c>
      <c r="B12" s="170">
        <f>Wages!L7</f>
        <v>23912</v>
      </c>
      <c r="C12" s="147"/>
      <c r="D12" s="179">
        <v>4.1200000000000001E-2</v>
      </c>
      <c r="E12" s="147"/>
      <c r="F12" s="170">
        <f t="shared" si="0"/>
        <v>985.17439999999999</v>
      </c>
      <c r="G12" s="170"/>
      <c r="H12" s="170">
        <f t="shared" si="1"/>
        <v>3940.6976</v>
      </c>
      <c r="O12" s="248" t="s">
        <v>206</v>
      </c>
      <c r="Q12" s="286" t="s">
        <v>585</v>
      </c>
      <c r="R12">
        <v>4</v>
      </c>
    </row>
    <row r="13" spans="1:18" x14ac:dyDescent="0.25">
      <c r="A13" s="184" t="s">
        <v>167</v>
      </c>
      <c r="B13" s="170">
        <f>Wages!L66</f>
        <v>104150.48</v>
      </c>
      <c r="C13" s="147"/>
      <c r="D13" s="179">
        <v>6.8400000000000002E-2</v>
      </c>
      <c r="E13" s="147"/>
      <c r="F13" s="170">
        <f t="shared" si="0"/>
        <v>7123.8928319999995</v>
      </c>
      <c r="G13" s="170"/>
      <c r="H13" s="170">
        <f t="shared" si="1"/>
        <v>28495.571327999998</v>
      </c>
      <c r="O13" s="248" t="s">
        <v>207</v>
      </c>
      <c r="Q13" s="286" t="s">
        <v>586</v>
      </c>
      <c r="R13">
        <v>4</v>
      </c>
    </row>
    <row r="14" spans="1:18" x14ac:dyDescent="0.25">
      <c r="A14" s="184" t="s">
        <v>168</v>
      </c>
      <c r="B14" s="170">
        <f>Wages!L67</f>
        <v>67959</v>
      </c>
      <c r="C14" s="147"/>
      <c r="D14" s="179">
        <v>6.8400000000000002E-2</v>
      </c>
      <c r="E14" s="147"/>
      <c r="F14" s="170">
        <f t="shared" si="0"/>
        <v>4648.3955999999998</v>
      </c>
      <c r="G14" s="170"/>
      <c r="H14" s="170">
        <f t="shared" si="1"/>
        <v>18593.582399999999</v>
      </c>
      <c r="O14" s="248" t="s">
        <v>599</v>
      </c>
      <c r="Q14" s="286" t="s">
        <v>600</v>
      </c>
      <c r="R14">
        <v>6</v>
      </c>
    </row>
    <row r="15" spans="1:18" x14ac:dyDescent="0.25">
      <c r="A15" s="184" t="s">
        <v>169</v>
      </c>
      <c r="B15" s="170">
        <f>Wages!L68</f>
        <v>62746.22</v>
      </c>
      <c r="C15" s="147"/>
      <c r="D15" s="179">
        <v>6.8400000000000002E-2</v>
      </c>
      <c r="E15" s="147"/>
      <c r="F15" s="170">
        <f t="shared" si="0"/>
        <v>4291.8414480000001</v>
      </c>
      <c r="G15" s="170"/>
      <c r="H15" s="170">
        <f t="shared" si="1"/>
        <v>17167.365792000001</v>
      </c>
      <c r="O15" s="248" t="s">
        <v>209</v>
      </c>
      <c r="Q15" s="286" t="s">
        <v>587</v>
      </c>
      <c r="R15">
        <v>6</v>
      </c>
    </row>
    <row r="16" spans="1:18" x14ac:dyDescent="0.25">
      <c r="A16" s="184" t="s">
        <v>170</v>
      </c>
      <c r="B16" s="170">
        <f>Wages!B95</f>
        <v>91503</v>
      </c>
      <c r="C16" s="147"/>
      <c r="D16" s="179">
        <v>6.8400000000000002E-2</v>
      </c>
      <c r="E16" s="147"/>
      <c r="F16" s="170">
        <f t="shared" si="0"/>
        <v>6258.8051999999998</v>
      </c>
      <c r="G16" s="170"/>
      <c r="H16" s="170">
        <f t="shared" si="1"/>
        <v>25035.220799999999</v>
      </c>
      <c r="O16" s="248" t="s">
        <v>210</v>
      </c>
      <c r="Q16" s="286" t="s">
        <v>570</v>
      </c>
      <c r="R16">
        <v>6</v>
      </c>
    </row>
    <row r="17" spans="1:18" x14ac:dyDescent="0.25">
      <c r="A17" s="184" t="s">
        <v>171</v>
      </c>
      <c r="B17" s="170">
        <f>Wages!B96</f>
        <v>45000</v>
      </c>
      <c r="C17" s="147"/>
      <c r="D17" s="179">
        <v>6.8400000000000002E-2</v>
      </c>
      <c r="E17" s="147"/>
      <c r="F17" s="170">
        <f t="shared" si="0"/>
        <v>3078</v>
      </c>
      <c r="G17" s="170"/>
      <c r="H17" s="170">
        <f t="shared" si="1"/>
        <v>12312</v>
      </c>
      <c r="J17" s="25"/>
      <c r="O17" s="248" t="s">
        <v>230</v>
      </c>
      <c r="Q17" s="286"/>
    </row>
    <row r="18" spans="1:18" x14ac:dyDescent="0.25">
      <c r="A18" s="184" t="s">
        <v>218</v>
      </c>
      <c r="B18" s="170">
        <f>Wages!B97</f>
        <v>71785</v>
      </c>
      <c r="C18" s="147"/>
      <c r="D18" s="179">
        <v>6.8400000000000002E-2</v>
      </c>
      <c r="E18" s="147"/>
      <c r="F18" s="170">
        <f>B18*D18</f>
        <v>4910.0940000000001</v>
      </c>
      <c r="G18" s="170"/>
      <c r="H18" s="170">
        <f>F18*4</f>
        <v>19640.376</v>
      </c>
      <c r="J18" s="25"/>
      <c r="O18" s="248" t="s">
        <v>536</v>
      </c>
      <c r="Q18" s="286" t="s">
        <v>571</v>
      </c>
      <c r="R18">
        <v>23</v>
      </c>
    </row>
    <row r="19" spans="1:18" x14ac:dyDescent="0.25">
      <c r="A19" s="184" t="s">
        <v>133</v>
      </c>
      <c r="B19" s="170">
        <v>20000</v>
      </c>
      <c r="C19" s="147"/>
      <c r="D19" s="179">
        <v>6.8400000000000002E-2</v>
      </c>
      <c r="E19" s="147"/>
      <c r="F19" s="170">
        <f t="shared" si="0"/>
        <v>1368</v>
      </c>
      <c r="G19" s="170"/>
      <c r="H19" s="170">
        <f t="shared" si="1"/>
        <v>5472</v>
      </c>
      <c r="O19" s="248" t="s">
        <v>537</v>
      </c>
      <c r="Q19" s="286" t="s">
        <v>572</v>
      </c>
      <c r="R19">
        <v>4</v>
      </c>
    </row>
    <row r="20" spans="1:18" x14ac:dyDescent="0.25">
      <c r="A20" s="184" t="s">
        <v>134</v>
      </c>
      <c r="B20" s="170">
        <v>5000</v>
      </c>
      <c r="C20" s="147"/>
      <c r="D20" s="179">
        <v>3.2000000000000003E-4</v>
      </c>
      <c r="E20" s="147"/>
      <c r="F20" s="170">
        <f t="shared" si="0"/>
        <v>1.6</v>
      </c>
      <c r="G20" s="170"/>
      <c r="H20" s="170">
        <f t="shared" si="1"/>
        <v>6.4</v>
      </c>
      <c r="O20" s="248" t="s">
        <v>538</v>
      </c>
      <c r="Q20" s="286" t="s">
        <v>573</v>
      </c>
      <c r="R20">
        <v>23</v>
      </c>
    </row>
    <row r="21" spans="1:18" x14ac:dyDescent="0.25">
      <c r="A21" s="184" t="s">
        <v>616</v>
      </c>
      <c r="B21" s="191">
        <f>Wages!D106</f>
        <v>69697.180000000008</v>
      </c>
      <c r="C21" s="147"/>
      <c r="D21" s="179">
        <v>6.8400000000000002E-2</v>
      </c>
      <c r="E21" s="147"/>
      <c r="F21" s="170">
        <f>B21*D21</f>
        <v>4767.2871120000009</v>
      </c>
      <c r="G21" s="170"/>
      <c r="H21" s="170">
        <f t="shared" si="1"/>
        <v>19069.148448000004</v>
      </c>
      <c r="O21" s="248" t="s">
        <v>539</v>
      </c>
      <c r="Q21" s="286" t="s">
        <v>574</v>
      </c>
      <c r="R21">
        <v>23</v>
      </c>
    </row>
    <row r="22" spans="1:18" x14ac:dyDescent="0.25">
      <c r="A22" s="184" t="s">
        <v>617</v>
      </c>
      <c r="B22" s="173">
        <f>Wages!D78</f>
        <v>62505</v>
      </c>
      <c r="C22" s="147"/>
      <c r="D22" s="179">
        <v>6.8400000000000002E-2</v>
      </c>
      <c r="E22" s="147"/>
      <c r="F22" s="170">
        <f>B22*D22</f>
        <v>4275.3420000000006</v>
      </c>
      <c r="G22" s="170"/>
      <c r="H22" s="173">
        <f>F22*4</f>
        <v>17101.368000000002</v>
      </c>
      <c r="O22" s="248" t="s">
        <v>540</v>
      </c>
      <c r="Q22" s="286" t="s">
        <v>575</v>
      </c>
      <c r="R22">
        <v>6</v>
      </c>
    </row>
    <row r="23" spans="1:18" x14ac:dyDescent="0.25">
      <c r="A23" s="185" t="s">
        <v>59</v>
      </c>
      <c r="B23" s="182"/>
      <c r="C23" s="192"/>
      <c r="D23" s="182"/>
      <c r="E23" s="192"/>
      <c r="F23" s="182"/>
      <c r="G23" s="182"/>
      <c r="H23" s="182">
        <f>SUM(H5:H22)</f>
        <v>177799.346976</v>
      </c>
      <c r="O23" s="248" t="s">
        <v>541</v>
      </c>
      <c r="Q23" s="286" t="s">
        <v>576</v>
      </c>
      <c r="R23">
        <v>4</v>
      </c>
    </row>
    <row r="24" spans="1:18" x14ac:dyDescent="0.25">
      <c r="A24" s="27"/>
      <c r="B24" s="26"/>
      <c r="C24" s="26"/>
      <c r="D24" s="26"/>
      <c r="E24" s="25"/>
      <c r="F24" s="25"/>
      <c r="G24" s="25"/>
    </row>
    <row r="25" spans="1:18" x14ac:dyDescent="0.25">
      <c r="A25" s="28"/>
      <c r="B25" s="26"/>
      <c r="C25" s="26"/>
      <c r="D25" s="26"/>
      <c r="E25" s="25"/>
      <c r="F25" s="25"/>
      <c r="G25" s="25"/>
      <c r="H25" s="26"/>
    </row>
    <row r="26" spans="1:18" x14ac:dyDescent="0.25">
      <c r="A26" s="28"/>
      <c r="B26" s="26"/>
      <c r="C26" s="26"/>
      <c r="D26" s="26"/>
      <c r="E26" s="25"/>
      <c r="F26" s="25"/>
      <c r="G26" s="25"/>
      <c r="H26" s="26"/>
    </row>
    <row r="27" spans="1:18" x14ac:dyDescent="0.25">
      <c r="A27" s="28"/>
      <c r="B27" s="26"/>
      <c r="C27" s="26"/>
      <c r="D27" s="26"/>
      <c r="E27" s="25"/>
      <c r="F27" s="25"/>
      <c r="G27" s="25"/>
      <c r="H27" s="26"/>
    </row>
    <row r="28" spans="1:18" x14ac:dyDescent="0.25">
      <c r="A28" s="5"/>
      <c r="B28" s="4"/>
      <c r="C28" s="4"/>
      <c r="D28" s="4"/>
      <c r="E28" s="4"/>
      <c r="G28" s="25"/>
      <c r="H28" s="25"/>
    </row>
    <row r="29" spans="1:18" x14ac:dyDescent="0.25">
      <c r="A29" s="5"/>
      <c r="B29" s="26"/>
      <c r="C29" s="4"/>
      <c r="D29" s="4"/>
      <c r="E29" s="4"/>
    </row>
    <row r="30" spans="1:18" x14ac:dyDescent="0.25">
      <c r="A30" s="5"/>
      <c r="B30" s="4"/>
      <c r="C30" s="4"/>
      <c r="D30" s="4"/>
      <c r="E30" s="4"/>
    </row>
    <row r="31" spans="1:18" x14ac:dyDescent="0.25">
      <c r="C31" s="6"/>
      <c r="D31" s="6"/>
      <c r="E31" s="6"/>
      <c r="F31" s="6"/>
      <c r="G31" s="6"/>
    </row>
    <row r="32" spans="1:18" x14ac:dyDescent="0.25">
      <c r="A32" s="18"/>
      <c r="B32" s="18"/>
      <c r="C32" s="18"/>
      <c r="D32" s="18"/>
      <c r="E32" s="18"/>
      <c r="F32" s="6"/>
      <c r="G32" s="6"/>
    </row>
    <row r="33" spans="1:18" x14ac:dyDescent="0.25">
      <c r="C33" s="6"/>
      <c r="D33" s="6"/>
      <c r="E33" s="6"/>
      <c r="F33" s="6"/>
      <c r="G33" s="6"/>
    </row>
    <row r="34" spans="1:18" s="18" customFormat="1" ht="18.75" x14ac:dyDescent="0.3">
      <c r="A34" s="528" t="s">
        <v>136</v>
      </c>
      <c r="B34" s="529"/>
      <c r="C34" s="529"/>
      <c r="D34" s="529"/>
      <c r="E34" s="529"/>
      <c r="F34" s="19"/>
      <c r="G34" s="90"/>
      <c r="H34" s="91"/>
    </row>
    <row r="35" spans="1:18" x14ac:dyDescent="0.25">
      <c r="A35" s="92"/>
      <c r="B35" s="93" t="s">
        <v>9</v>
      </c>
      <c r="C35" s="94" t="s">
        <v>10</v>
      </c>
      <c r="D35" s="94" t="s">
        <v>16</v>
      </c>
      <c r="E35" s="94" t="s">
        <v>17</v>
      </c>
      <c r="F35" s="95"/>
      <c r="G35" s="96"/>
      <c r="H35" s="97"/>
    </row>
    <row r="36" spans="1:18" x14ac:dyDescent="0.25">
      <c r="A36" s="29" t="s">
        <v>13</v>
      </c>
      <c r="B36" s="83">
        <f>H5*0.4</f>
        <v>0</v>
      </c>
      <c r="C36" s="83">
        <f>H5*0.4</f>
        <v>0</v>
      </c>
      <c r="D36" s="83">
        <f>H5*0.1</f>
        <v>0</v>
      </c>
      <c r="E36" s="83">
        <f>H5*0.1</f>
        <v>0</v>
      </c>
      <c r="F36" s="98"/>
      <c r="G36" s="99"/>
      <c r="H36" s="100"/>
      <c r="O36" s="248" t="s">
        <v>13</v>
      </c>
      <c r="Q36" s="286" t="s">
        <v>577</v>
      </c>
      <c r="R36">
        <v>4411</v>
      </c>
    </row>
    <row r="37" spans="1:18" x14ac:dyDescent="0.25">
      <c r="A37" s="30" t="s">
        <v>14</v>
      </c>
      <c r="B37" s="84">
        <f>H6*0.3</f>
        <v>19.968</v>
      </c>
      <c r="C37" s="85">
        <f>H6*0.3</f>
        <v>19.968</v>
      </c>
      <c r="D37" s="86">
        <f>H6*0.3</f>
        <v>19.968</v>
      </c>
      <c r="E37" s="86">
        <f>H6*0.1</f>
        <v>6.6560000000000006</v>
      </c>
      <c r="F37" s="98"/>
      <c r="G37" s="101"/>
      <c r="H37" s="97"/>
      <c r="O37" s="248" t="s">
        <v>14</v>
      </c>
      <c r="Q37" s="286" t="s">
        <v>578</v>
      </c>
      <c r="R37">
        <v>3331</v>
      </c>
    </row>
    <row r="38" spans="1:18" x14ac:dyDescent="0.25">
      <c r="A38" s="30" t="s">
        <v>15</v>
      </c>
      <c r="B38" s="86">
        <f>H7*0.33</f>
        <v>15.862302720000004</v>
      </c>
      <c r="C38" s="86">
        <f>H7*0.33</f>
        <v>15.862302720000004</v>
      </c>
      <c r="D38" s="86"/>
      <c r="E38" s="86">
        <f>H7*0.24</f>
        <v>11.536220160000003</v>
      </c>
      <c r="F38" s="98"/>
      <c r="G38" s="101"/>
      <c r="H38" s="97"/>
      <c r="O38" s="248" t="s">
        <v>15</v>
      </c>
      <c r="Q38" s="286" t="s">
        <v>579</v>
      </c>
      <c r="R38">
        <v>3313</v>
      </c>
    </row>
    <row r="39" spans="1:18" x14ac:dyDescent="0.25">
      <c r="A39" s="30" t="s">
        <v>5</v>
      </c>
      <c r="B39" s="86">
        <f>H9*0.5</f>
        <v>0</v>
      </c>
      <c r="C39" s="86">
        <f>H9*0.5</f>
        <v>0</v>
      </c>
      <c r="D39" s="87"/>
      <c r="E39" s="87"/>
      <c r="F39" s="98"/>
      <c r="G39" s="101"/>
      <c r="H39" s="97"/>
      <c r="O39" s="248" t="s">
        <v>5</v>
      </c>
      <c r="Q39" s="286"/>
      <c r="R39">
        <v>23</v>
      </c>
    </row>
    <row r="40" spans="1:18" x14ac:dyDescent="0.25">
      <c r="A40" s="30" t="s">
        <v>6</v>
      </c>
      <c r="B40" s="86">
        <f>H10*0.5</f>
        <v>2852.2001920000002</v>
      </c>
      <c r="C40" s="86">
        <f>H10*0.5</f>
        <v>2852.2001920000002</v>
      </c>
      <c r="D40" s="87"/>
      <c r="E40" s="87"/>
      <c r="F40" s="98"/>
      <c r="G40" s="101"/>
      <c r="H40" s="97"/>
      <c r="O40" s="248" t="s">
        <v>6</v>
      </c>
      <c r="Q40" s="286" t="s">
        <v>580</v>
      </c>
      <c r="R40">
        <v>23</v>
      </c>
    </row>
    <row r="41" spans="1:18" x14ac:dyDescent="0.25">
      <c r="A41" s="30" t="s">
        <v>7</v>
      </c>
      <c r="B41" s="86">
        <f>H11*0.5</f>
        <v>2573.29432</v>
      </c>
      <c r="C41" s="86">
        <f>H11*0.5</f>
        <v>2573.29432</v>
      </c>
      <c r="D41" s="87"/>
      <c r="E41" s="87"/>
      <c r="F41" s="98"/>
      <c r="G41" s="101"/>
      <c r="H41" s="97"/>
      <c r="O41" s="248" t="s">
        <v>7</v>
      </c>
      <c r="Q41" s="286" t="s">
        <v>581</v>
      </c>
    </row>
    <row r="42" spans="1:18" x14ac:dyDescent="0.25">
      <c r="A42" s="30" t="s">
        <v>8</v>
      </c>
      <c r="B42" s="86">
        <f>H12*0.5</f>
        <v>1970.3488</v>
      </c>
      <c r="C42" s="86">
        <f>H12*0.5</f>
        <v>1970.3488</v>
      </c>
      <c r="D42" s="87"/>
      <c r="E42" s="87"/>
      <c r="F42" s="98"/>
      <c r="G42" s="101"/>
      <c r="H42" s="97"/>
      <c r="O42" s="248" t="s">
        <v>8</v>
      </c>
      <c r="Q42" s="286" t="s">
        <v>582</v>
      </c>
    </row>
    <row r="43" spans="1:18" x14ac:dyDescent="0.25">
      <c r="A43" s="30" t="s">
        <v>41</v>
      </c>
      <c r="B43" s="88"/>
      <c r="C43" s="87"/>
      <c r="D43" s="86"/>
      <c r="E43" s="86"/>
      <c r="F43" s="98"/>
      <c r="G43" s="101"/>
      <c r="H43" s="97"/>
      <c r="O43" s="248" t="s">
        <v>41</v>
      </c>
      <c r="Q43" s="286" t="s">
        <v>583</v>
      </c>
      <c r="R43">
        <v>4</v>
      </c>
    </row>
    <row r="44" spans="1:18" x14ac:dyDescent="0.25">
      <c r="A44" s="30" t="s">
        <v>176</v>
      </c>
      <c r="B44" s="88"/>
      <c r="C44" s="87"/>
      <c r="D44" s="86">
        <f>H13</f>
        <v>28495.571327999998</v>
      </c>
      <c r="E44" s="86"/>
      <c r="F44" s="98"/>
      <c r="G44" s="101"/>
      <c r="H44" s="97"/>
      <c r="O44" s="248" t="s">
        <v>205</v>
      </c>
      <c r="Q44" s="286" t="s">
        <v>584</v>
      </c>
      <c r="R44">
        <v>4</v>
      </c>
    </row>
    <row r="45" spans="1:18" x14ac:dyDescent="0.25">
      <c r="A45" s="30" t="s">
        <v>177</v>
      </c>
      <c r="B45" s="88"/>
      <c r="C45" s="88"/>
      <c r="D45" s="86">
        <f>H14</f>
        <v>18593.582399999999</v>
      </c>
      <c r="E45" s="86"/>
      <c r="F45" s="98"/>
      <c r="G45" s="101"/>
      <c r="H45" s="97"/>
      <c r="O45" s="248" t="s">
        <v>206</v>
      </c>
      <c r="Q45" s="286" t="s">
        <v>585</v>
      </c>
      <c r="R45">
        <v>4</v>
      </c>
    </row>
    <row r="46" spans="1:18" x14ac:dyDescent="0.25">
      <c r="A46" s="30" t="s">
        <v>178</v>
      </c>
      <c r="B46" s="88"/>
      <c r="C46" s="88"/>
      <c r="D46" s="86">
        <f>H15</f>
        <v>17167.365792000001</v>
      </c>
      <c r="E46" s="86"/>
      <c r="F46" s="98"/>
      <c r="G46" s="101"/>
      <c r="H46" s="97"/>
      <c r="O46" s="248" t="s">
        <v>207</v>
      </c>
      <c r="Q46" s="286" t="s">
        <v>586</v>
      </c>
      <c r="R46">
        <v>4</v>
      </c>
    </row>
    <row r="47" spans="1:18" x14ac:dyDescent="0.25">
      <c r="A47" s="30" t="s">
        <v>179</v>
      </c>
      <c r="B47" s="88"/>
      <c r="C47" s="88"/>
      <c r="D47" s="86"/>
      <c r="E47" s="86">
        <f>H16</f>
        <v>25035.220799999999</v>
      </c>
      <c r="F47" s="98"/>
      <c r="G47" s="101"/>
      <c r="H47" s="97"/>
      <c r="O47" s="248" t="s">
        <v>599</v>
      </c>
      <c r="Q47" s="286" t="s">
        <v>600</v>
      </c>
      <c r="R47">
        <v>6</v>
      </c>
    </row>
    <row r="48" spans="1:18" x14ac:dyDescent="0.25">
      <c r="A48" s="30" t="s">
        <v>180</v>
      </c>
      <c r="B48" s="88"/>
      <c r="C48" s="87"/>
      <c r="D48" s="86"/>
      <c r="E48" s="86">
        <f>H17</f>
        <v>12312</v>
      </c>
      <c r="F48" s="98"/>
      <c r="G48" s="101"/>
      <c r="H48" s="97"/>
      <c r="O48" s="248" t="s">
        <v>209</v>
      </c>
      <c r="Q48" s="286" t="s">
        <v>587</v>
      </c>
      <c r="R48">
        <v>6</v>
      </c>
    </row>
    <row r="49" spans="1:18" x14ac:dyDescent="0.25">
      <c r="A49" s="30" t="s">
        <v>217</v>
      </c>
      <c r="B49" s="88"/>
      <c r="C49" s="87"/>
      <c r="D49" s="86"/>
      <c r="E49" s="86">
        <f>H18</f>
        <v>19640.376</v>
      </c>
      <c r="F49" s="98"/>
      <c r="G49" s="101"/>
      <c r="H49" s="97"/>
      <c r="O49" s="248" t="s">
        <v>210</v>
      </c>
      <c r="Q49" s="286" t="s">
        <v>570</v>
      </c>
      <c r="R49">
        <v>6</v>
      </c>
    </row>
    <row r="50" spans="1:18" x14ac:dyDescent="0.25">
      <c r="A50" s="30" t="s">
        <v>133</v>
      </c>
      <c r="B50" s="86">
        <f>H19*0.33</f>
        <v>1805.76</v>
      </c>
      <c r="C50" s="86">
        <f>H19*0.34</f>
        <v>1860.4800000000002</v>
      </c>
      <c r="D50" s="86">
        <f>H19*0.33</f>
        <v>1805.76</v>
      </c>
      <c r="E50" s="86"/>
      <c r="F50" s="98"/>
      <c r="G50" s="101"/>
      <c r="H50" s="97"/>
      <c r="O50" s="248" t="s">
        <v>230</v>
      </c>
      <c r="Q50" s="286"/>
    </row>
    <row r="51" spans="1:18" x14ac:dyDescent="0.25">
      <c r="A51" s="30" t="s">
        <v>134</v>
      </c>
      <c r="B51" s="86">
        <f>H20*0.33</f>
        <v>2.1120000000000001</v>
      </c>
      <c r="C51" s="86">
        <f>H20*0.34</f>
        <v>2.1760000000000002</v>
      </c>
      <c r="D51" s="86">
        <f>H20*0.33</f>
        <v>2.1120000000000001</v>
      </c>
      <c r="E51" s="86"/>
      <c r="F51" s="98"/>
      <c r="G51" s="101"/>
      <c r="H51" s="97"/>
      <c r="O51" s="248" t="s">
        <v>536</v>
      </c>
      <c r="Q51" s="286" t="s">
        <v>571</v>
      </c>
      <c r="R51">
        <v>23</v>
      </c>
    </row>
    <row r="52" spans="1:18" x14ac:dyDescent="0.25">
      <c r="A52" s="184" t="s">
        <v>616</v>
      </c>
      <c r="B52" s="86"/>
      <c r="C52" s="86"/>
      <c r="D52" s="86"/>
      <c r="E52" s="86">
        <f>H21</f>
        <v>19069.148448000004</v>
      </c>
      <c r="F52" s="98"/>
      <c r="G52" s="101"/>
      <c r="H52" s="97"/>
      <c r="O52" s="248"/>
      <c r="Q52" s="286"/>
    </row>
    <row r="53" spans="1:18" x14ac:dyDescent="0.25">
      <c r="A53" s="184" t="s">
        <v>617</v>
      </c>
      <c r="B53" s="89"/>
      <c r="C53" s="89"/>
      <c r="D53" s="89">
        <f>H22</f>
        <v>17101.368000000002</v>
      </c>
      <c r="E53" s="89"/>
      <c r="F53" s="98"/>
      <c r="G53" s="101"/>
      <c r="H53" s="97"/>
      <c r="O53" s="248" t="s">
        <v>537</v>
      </c>
      <c r="Q53" s="286" t="s">
        <v>572</v>
      </c>
      <c r="R53">
        <v>4</v>
      </c>
    </row>
    <row r="54" spans="1:18" x14ac:dyDescent="0.25">
      <c r="A54" s="102" t="s">
        <v>61</v>
      </c>
      <c r="B54" s="522">
        <f>SUM(B36:B53)</f>
        <v>9239.5456147199984</v>
      </c>
      <c r="C54" s="522">
        <f>SUM(C36:C53)</f>
        <v>9294.3296147199999</v>
      </c>
      <c r="D54" s="522">
        <f>SUM(D36:D53)</f>
        <v>83185.727519999986</v>
      </c>
      <c r="E54" s="522">
        <f>SUM(E36:E53)</f>
        <v>76074.937468160002</v>
      </c>
      <c r="F54" s="103"/>
      <c r="G54" s="104"/>
      <c r="H54" s="105"/>
      <c r="O54" s="248" t="s">
        <v>538</v>
      </c>
      <c r="Q54" s="286" t="s">
        <v>573</v>
      </c>
      <c r="R54">
        <v>23</v>
      </c>
    </row>
    <row r="55" spans="1:18" x14ac:dyDescent="0.25">
      <c r="C55" s="6"/>
      <c r="D55" s="6"/>
      <c r="O55" s="248" t="s">
        <v>539</v>
      </c>
      <c r="Q55" s="286" t="s">
        <v>574</v>
      </c>
      <c r="R55">
        <v>23</v>
      </c>
    </row>
    <row r="56" spans="1:18" x14ac:dyDescent="0.25">
      <c r="C56" s="6"/>
      <c r="D56" s="5"/>
      <c r="E56" s="17"/>
      <c r="O56" s="248" t="s">
        <v>540</v>
      </c>
      <c r="Q56" s="286" t="s">
        <v>575</v>
      </c>
      <c r="R56">
        <v>6</v>
      </c>
    </row>
    <row r="57" spans="1:18" x14ac:dyDescent="0.25">
      <c r="O57" s="248" t="s">
        <v>541</v>
      </c>
      <c r="Q57" s="286" t="s">
        <v>576</v>
      </c>
      <c r="R57">
        <v>4</v>
      </c>
    </row>
  </sheetData>
  <mergeCells count="1">
    <mergeCell ref="A34:E34"/>
  </mergeCells>
  <pageMargins left="0.7" right="0.7" top="0.75" bottom="0.75" header="0.3" footer="0.3"/>
  <pageSetup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56"/>
  <sheetViews>
    <sheetView topLeftCell="A25" workbookViewId="0">
      <selection activeCell="C38" sqref="C38"/>
    </sheetView>
  </sheetViews>
  <sheetFormatPr defaultRowHeight="15" x14ac:dyDescent="0.25"/>
  <cols>
    <col min="1" max="1" width="26" customWidth="1"/>
    <col min="2" max="2" width="12.7109375" customWidth="1"/>
    <col min="3" max="3" width="15.28515625" customWidth="1"/>
    <col min="4" max="4" width="16.28515625" customWidth="1"/>
    <col min="5" max="5" width="15.42578125" customWidth="1"/>
    <col min="6" max="6" width="15.140625" customWidth="1"/>
    <col min="7" max="7" width="18.140625" customWidth="1"/>
  </cols>
  <sheetData>
    <row r="1" spans="1:16" x14ac:dyDescent="0.25">
      <c r="A1" s="526"/>
      <c r="B1" s="526"/>
      <c r="C1" s="526"/>
      <c r="D1" s="526"/>
      <c r="E1" s="526"/>
      <c r="F1" s="526"/>
      <c r="G1" s="526"/>
    </row>
    <row r="2" spans="1:16" x14ac:dyDescent="0.25">
      <c r="A2" s="6"/>
    </row>
    <row r="3" spans="1:16" ht="18.75" x14ac:dyDescent="0.3">
      <c r="A3" s="78"/>
      <c r="B3" s="43"/>
      <c r="C3" s="43"/>
      <c r="D3" s="79" t="s">
        <v>80</v>
      </c>
      <c r="E3" s="43"/>
      <c r="F3" s="43"/>
      <c r="G3" s="43"/>
      <c r="M3" s="248" t="s">
        <v>13</v>
      </c>
      <c r="O3" s="286" t="s">
        <v>577</v>
      </c>
      <c r="P3">
        <v>4411</v>
      </c>
    </row>
    <row r="4" spans="1:16" ht="27" x14ac:dyDescent="0.3">
      <c r="A4" s="80" t="s">
        <v>51</v>
      </c>
      <c r="B4" s="81" t="s">
        <v>52</v>
      </c>
      <c r="C4" s="81" t="s">
        <v>124</v>
      </c>
      <c r="D4" s="81" t="s">
        <v>138</v>
      </c>
      <c r="E4" s="81" t="s">
        <v>125</v>
      </c>
      <c r="F4" s="81" t="s">
        <v>139</v>
      </c>
      <c r="G4" s="81" t="s">
        <v>126</v>
      </c>
      <c r="M4" s="248" t="s">
        <v>14</v>
      </c>
      <c r="O4" s="286" t="s">
        <v>578</v>
      </c>
      <c r="P4">
        <v>3331</v>
      </c>
    </row>
    <row r="5" spans="1:16" x14ac:dyDescent="0.25">
      <c r="A5" s="82" t="s">
        <v>13</v>
      </c>
      <c r="B5" s="169">
        <f>Wages!L35</f>
        <v>80850</v>
      </c>
      <c r="C5" s="193">
        <v>6.2E-2</v>
      </c>
      <c r="D5" s="169">
        <f>B5*C5</f>
        <v>5012.7</v>
      </c>
      <c r="E5" s="194">
        <v>1.4500000000000001E-2</v>
      </c>
      <c r="F5" s="169">
        <f>B5*E5</f>
        <v>1172.325</v>
      </c>
      <c r="G5" s="169">
        <f>D5+F5</f>
        <v>6185.0249999999996</v>
      </c>
      <c r="M5" s="248" t="s">
        <v>15</v>
      </c>
      <c r="O5" s="286" t="s">
        <v>579</v>
      </c>
      <c r="P5">
        <v>3313</v>
      </c>
    </row>
    <row r="6" spans="1:16" x14ac:dyDescent="0.25">
      <c r="A6" s="82" t="s">
        <v>14</v>
      </c>
      <c r="B6" s="169">
        <f>Wages!L36</f>
        <v>52000</v>
      </c>
      <c r="C6" s="193">
        <v>6.2E-2</v>
      </c>
      <c r="D6" s="169">
        <f t="shared" ref="D6:D19" si="0">B6*C6</f>
        <v>3224</v>
      </c>
      <c r="E6" s="194">
        <v>1.4500000000000001E-2</v>
      </c>
      <c r="F6" s="169">
        <f t="shared" ref="F6:F19" si="1">B6*E6</f>
        <v>754</v>
      </c>
      <c r="G6" s="169">
        <f t="shared" ref="G6:G19" si="2">D6+F6</f>
        <v>3978</v>
      </c>
      <c r="M6" s="248" t="s">
        <v>5</v>
      </c>
      <c r="O6" s="286"/>
      <c r="P6">
        <v>23</v>
      </c>
    </row>
    <row r="7" spans="1:16" x14ac:dyDescent="0.25">
      <c r="A7" s="82" t="s">
        <v>15</v>
      </c>
      <c r="B7" s="169">
        <f>Wages!L37</f>
        <v>37552.800000000003</v>
      </c>
      <c r="C7" s="193">
        <v>6.2E-2</v>
      </c>
      <c r="D7" s="169">
        <f t="shared" si="0"/>
        <v>2328.2736</v>
      </c>
      <c r="E7" s="194">
        <v>1.4500000000000001E-2</v>
      </c>
      <c r="F7" s="169">
        <f t="shared" si="1"/>
        <v>544.51560000000006</v>
      </c>
      <c r="G7" s="169">
        <f t="shared" si="2"/>
        <v>2872.7892000000002</v>
      </c>
      <c r="M7" s="248" t="s">
        <v>6</v>
      </c>
      <c r="O7" s="286" t="s">
        <v>580</v>
      </c>
      <c r="P7">
        <v>23</v>
      </c>
    </row>
    <row r="8" spans="1:16" x14ac:dyDescent="0.25">
      <c r="A8" s="82" t="s">
        <v>5</v>
      </c>
      <c r="B8" s="169">
        <f>Wages!L4</f>
        <v>0</v>
      </c>
      <c r="C8" s="193">
        <v>6.2E-2</v>
      </c>
      <c r="D8" s="169">
        <f t="shared" si="0"/>
        <v>0</v>
      </c>
      <c r="E8" s="194">
        <v>1.4500000000000001E-2</v>
      </c>
      <c r="F8" s="169">
        <f t="shared" si="1"/>
        <v>0</v>
      </c>
      <c r="G8" s="169">
        <f t="shared" si="2"/>
        <v>0</v>
      </c>
      <c r="M8" s="248" t="s">
        <v>7</v>
      </c>
      <c r="O8" s="286" t="s">
        <v>581</v>
      </c>
    </row>
    <row r="9" spans="1:16" x14ac:dyDescent="0.25">
      <c r="A9" s="82" t="s">
        <v>6</v>
      </c>
      <c r="B9" s="169">
        <f>Wages!L5</f>
        <v>34614.080000000002</v>
      </c>
      <c r="C9" s="193">
        <v>6.2E-2</v>
      </c>
      <c r="D9" s="169">
        <f t="shared" si="0"/>
        <v>2146.07296</v>
      </c>
      <c r="E9" s="194">
        <v>1.4500000000000001E-2</v>
      </c>
      <c r="F9" s="169">
        <f t="shared" si="1"/>
        <v>501.90416000000005</v>
      </c>
      <c r="G9" s="169">
        <f t="shared" si="2"/>
        <v>2647.97712</v>
      </c>
      <c r="M9" s="248" t="s">
        <v>8</v>
      </c>
      <c r="O9" s="286" t="s">
        <v>582</v>
      </c>
    </row>
    <row r="10" spans="1:16" x14ac:dyDescent="0.25">
      <c r="A10" s="82" t="s">
        <v>7</v>
      </c>
      <c r="B10" s="169">
        <f>Wages!L6</f>
        <v>31229.3</v>
      </c>
      <c r="C10" s="193">
        <v>6.2E-2</v>
      </c>
      <c r="D10" s="169">
        <f t="shared" si="0"/>
        <v>1936.2166</v>
      </c>
      <c r="E10" s="194">
        <v>1.4500000000000001E-2</v>
      </c>
      <c r="F10" s="169">
        <f t="shared" si="1"/>
        <v>452.82485000000003</v>
      </c>
      <c r="G10" s="169">
        <f t="shared" si="2"/>
        <v>2389.0414500000002</v>
      </c>
      <c r="M10" s="248" t="s">
        <v>41</v>
      </c>
      <c r="O10" s="286" t="s">
        <v>583</v>
      </c>
      <c r="P10">
        <v>4</v>
      </c>
    </row>
    <row r="11" spans="1:16" x14ac:dyDescent="0.25">
      <c r="A11" s="82" t="s">
        <v>8</v>
      </c>
      <c r="B11" s="169">
        <f>Wages!L7</f>
        <v>23912</v>
      </c>
      <c r="C11" s="193">
        <v>6.2E-2</v>
      </c>
      <c r="D11" s="169">
        <f t="shared" si="0"/>
        <v>1482.5440000000001</v>
      </c>
      <c r="E11" s="194">
        <v>1.4500000000000001E-2</v>
      </c>
      <c r="F11" s="169">
        <f t="shared" si="1"/>
        <v>346.72399999999999</v>
      </c>
      <c r="G11" s="169">
        <f t="shared" si="2"/>
        <v>1829.268</v>
      </c>
      <c r="M11" s="248" t="s">
        <v>205</v>
      </c>
      <c r="O11" s="286" t="s">
        <v>584</v>
      </c>
      <c r="P11">
        <v>4</v>
      </c>
    </row>
    <row r="12" spans="1:16" x14ac:dyDescent="0.25">
      <c r="A12" s="82" t="s">
        <v>41</v>
      </c>
      <c r="B12" s="169">
        <f>Wages!L65</f>
        <v>25800</v>
      </c>
      <c r="C12" s="193">
        <v>6.2E-2</v>
      </c>
      <c r="D12" s="169">
        <f t="shared" si="0"/>
        <v>1599.6</v>
      </c>
      <c r="E12" s="194">
        <v>1.4500000000000001E-2</v>
      </c>
      <c r="F12" s="169">
        <f t="shared" si="1"/>
        <v>374.1</v>
      </c>
      <c r="G12" s="169">
        <f t="shared" si="2"/>
        <v>1973.6999999999998</v>
      </c>
      <c r="M12" s="248" t="s">
        <v>206</v>
      </c>
      <c r="O12" s="286" t="s">
        <v>585</v>
      </c>
      <c r="P12">
        <v>4</v>
      </c>
    </row>
    <row r="13" spans="1:16" x14ac:dyDescent="0.25">
      <c r="A13" s="82" t="s">
        <v>219</v>
      </c>
      <c r="B13" s="169">
        <f>Wages!L66</f>
        <v>104150.48</v>
      </c>
      <c r="C13" s="193">
        <v>6.2E-2</v>
      </c>
      <c r="D13" s="169">
        <f t="shared" si="0"/>
        <v>6457.3297599999996</v>
      </c>
      <c r="E13" s="194">
        <v>1.4500000000000001E-2</v>
      </c>
      <c r="F13" s="169">
        <f t="shared" si="1"/>
        <v>1510.1819600000001</v>
      </c>
      <c r="G13" s="169">
        <f t="shared" si="2"/>
        <v>7967.5117199999995</v>
      </c>
      <c r="M13" s="248" t="s">
        <v>207</v>
      </c>
      <c r="O13" s="286" t="s">
        <v>586</v>
      </c>
      <c r="P13">
        <v>4</v>
      </c>
    </row>
    <row r="14" spans="1:16" x14ac:dyDescent="0.25">
      <c r="A14" s="82" t="s">
        <v>220</v>
      </c>
      <c r="B14" s="169">
        <f>Wages!L67</f>
        <v>67959</v>
      </c>
      <c r="C14" s="193">
        <v>6.2E-2</v>
      </c>
      <c r="D14" s="169">
        <f t="shared" si="0"/>
        <v>4213.4579999999996</v>
      </c>
      <c r="E14" s="194">
        <v>1.4500000000000001E-2</v>
      </c>
      <c r="F14" s="169">
        <f t="shared" si="1"/>
        <v>985.40550000000007</v>
      </c>
      <c r="G14" s="169">
        <f t="shared" si="2"/>
        <v>5198.8634999999995</v>
      </c>
      <c r="M14" s="248" t="s">
        <v>599</v>
      </c>
      <c r="O14" s="286" t="s">
        <v>600</v>
      </c>
      <c r="P14">
        <v>6</v>
      </c>
    </row>
    <row r="15" spans="1:16" x14ac:dyDescent="0.25">
      <c r="A15" s="82" t="s">
        <v>221</v>
      </c>
      <c r="B15" s="169">
        <f>Wages!L68</f>
        <v>62746.22</v>
      </c>
      <c r="C15" s="193">
        <v>6.2E-2</v>
      </c>
      <c r="D15" s="169">
        <f t="shared" si="0"/>
        <v>3890.2656400000001</v>
      </c>
      <c r="E15" s="194">
        <v>1.4500000000000001E-2</v>
      </c>
      <c r="F15" s="169">
        <f t="shared" si="1"/>
        <v>909.82019000000003</v>
      </c>
      <c r="G15" s="169">
        <f t="shared" si="2"/>
        <v>4800.08583</v>
      </c>
      <c r="M15" s="248" t="s">
        <v>209</v>
      </c>
      <c r="O15" s="286" t="s">
        <v>587</v>
      </c>
      <c r="P15">
        <v>6</v>
      </c>
    </row>
    <row r="16" spans="1:16" x14ac:dyDescent="0.25">
      <c r="A16" s="82" t="s">
        <v>222</v>
      </c>
      <c r="B16" s="169">
        <f>Wages!L95</f>
        <v>98763</v>
      </c>
      <c r="C16" s="193">
        <v>6.2E-2</v>
      </c>
      <c r="D16" s="169">
        <f t="shared" si="0"/>
        <v>6123.3059999999996</v>
      </c>
      <c r="E16" s="194">
        <v>1.4500000000000001E-2</v>
      </c>
      <c r="F16" s="169">
        <f t="shared" si="1"/>
        <v>1432.0635</v>
      </c>
      <c r="G16" s="169">
        <f t="shared" si="2"/>
        <v>7555.3694999999998</v>
      </c>
      <c r="M16" s="248" t="s">
        <v>210</v>
      </c>
      <c r="O16" s="286" t="s">
        <v>570</v>
      </c>
      <c r="P16">
        <v>6</v>
      </c>
    </row>
    <row r="17" spans="1:16" x14ac:dyDescent="0.25">
      <c r="A17" s="82" t="s">
        <v>223</v>
      </c>
      <c r="B17" s="169">
        <f>Wages!L96</f>
        <v>45800</v>
      </c>
      <c r="C17" s="193">
        <v>6.2E-2</v>
      </c>
      <c r="D17" s="169">
        <f t="shared" si="0"/>
        <v>2839.6</v>
      </c>
      <c r="E17" s="194">
        <v>1.4500000000000001E-2</v>
      </c>
      <c r="F17" s="169">
        <f t="shared" si="1"/>
        <v>664.1</v>
      </c>
      <c r="G17" s="169">
        <f t="shared" si="2"/>
        <v>3503.7</v>
      </c>
      <c r="M17" s="248" t="s">
        <v>230</v>
      </c>
      <c r="O17" s="286"/>
    </row>
    <row r="18" spans="1:16" x14ac:dyDescent="0.25">
      <c r="A18" s="82" t="s">
        <v>224</v>
      </c>
      <c r="B18" s="169">
        <f>Wages!L97</f>
        <v>80477.91</v>
      </c>
      <c r="C18" s="193">
        <v>6.2E-2</v>
      </c>
      <c r="D18" s="169">
        <f>B18*C18</f>
        <v>4989.6304200000004</v>
      </c>
      <c r="E18" s="194">
        <v>1.4500000000000001E-2</v>
      </c>
      <c r="F18" s="169">
        <f>B18*E18</f>
        <v>1166.929695</v>
      </c>
      <c r="G18" s="169">
        <f>D18+F18</f>
        <v>6156.5601150000002</v>
      </c>
      <c r="M18" s="248" t="s">
        <v>536</v>
      </c>
      <c r="O18" s="286" t="s">
        <v>571</v>
      </c>
      <c r="P18">
        <v>23</v>
      </c>
    </row>
    <row r="19" spans="1:16" x14ac:dyDescent="0.25">
      <c r="A19" s="82" t="s">
        <v>127</v>
      </c>
      <c r="B19" s="169">
        <f>Wages!P110+Wages!Q110</f>
        <v>629846.27</v>
      </c>
      <c r="C19" s="193">
        <v>6.2E-2</v>
      </c>
      <c r="D19" s="177">
        <f t="shared" si="0"/>
        <v>39050.468740000004</v>
      </c>
      <c r="E19" s="194">
        <v>1.4500000000000001E-2</v>
      </c>
      <c r="F19" s="195">
        <f t="shared" si="1"/>
        <v>9132.770915000001</v>
      </c>
      <c r="G19" s="196">
        <f t="shared" si="2"/>
        <v>48183.239655000005</v>
      </c>
      <c r="M19" s="248" t="s">
        <v>537</v>
      </c>
      <c r="O19" s="286" t="s">
        <v>572</v>
      </c>
      <c r="P19">
        <v>4</v>
      </c>
    </row>
    <row r="20" spans="1:16" x14ac:dyDescent="0.25">
      <c r="A20" s="43"/>
      <c r="B20" s="197"/>
      <c r="C20" s="198" t="s">
        <v>60</v>
      </c>
      <c r="D20" s="182">
        <f>SUM(D5:D19)</f>
        <v>85293.465720000007</v>
      </c>
      <c r="E20" s="198" t="s">
        <v>60</v>
      </c>
      <c r="F20" s="182">
        <f>SUM(F5:F19)</f>
        <v>19947.665370000002</v>
      </c>
      <c r="G20" s="170"/>
      <c r="M20" s="248" t="s">
        <v>538</v>
      </c>
      <c r="O20" s="286" t="s">
        <v>573</v>
      </c>
      <c r="P20">
        <v>23</v>
      </c>
    </row>
    <row r="21" spans="1:16" x14ac:dyDescent="0.25">
      <c r="A21" s="53"/>
      <c r="B21" s="170"/>
      <c r="C21" s="170"/>
      <c r="D21" s="170"/>
      <c r="E21" s="530" t="s">
        <v>128</v>
      </c>
      <c r="F21" s="530"/>
      <c r="G21" s="182">
        <f>SUM(G5:G20)</f>
        <v>105241.13109000001</v>
      </c>
      <c r="M21" s="248" t="s">
        <v>539</v>
      </c>
      <c r="O21" s="286" t="s">
        <v>574</v>
      </c>
      <c r="P21">
        <v>23</v>
      </c>
    </row>
    <row r="22" spans="1:16" x14ac:dyDescent="0.25">
      <c r="A22" s="5"/>
      <c r="B22" s="4"/>
      <c r="C22" s="4"/>
      <c r="D22" s="4"/>
      <c r="E22" s="5"/>
      <c r="F22" s="5"/>
      <c r="G22" s="4"/>
      <c r="M22" s="248" t="s">
        <v>540</v>
      </c>
      <c r="O22" s="286" t="s">
        <v>575</v>
      </c>
      <c r="P22">
        <v>6</v>
      </c>
    </row>
    <row r="23" spans="1:16" x14ac:dyDescent="0.25">
      <c r="A23" s="16"/>
      <c r="B23" s="4"/>
      <c r="C23" s="4"/>
      <c r="D23" s="4"/>
      <c r="E23" s="16"/>
      <c r="F23" s="16"/>
      <c r="G23" s="4"/>
      <c r="M23" s="248" t="s">
        <v>541</v>
      </c>
      <c r="O23" s="286" t="s">
        <v>576</v>
      </c>
      <c r="P23">
        <v>4</v>
      </c>
    </row>
    <row r="24" spans="1:16" x14ac:dyDescent="0.25">
      <c r="A24" s="16"/>
      <c r="B24" s="4"/>
      <c r="C24" s="4"/>
      <c r="D24" s="4"/>
      <c r="E24" s="16"/>
      <c r="F24" s="16"/>
      <c r="G24" s="4"/>
    </row>
    <row r="25" spans="1:16" x14ac:dyDescent="0.25">
      <c r="A25" s="16"/>
      <c r="B25" s="4"/>
      <c r="C25" s="4"/>
      <c r="D25" s="4"/>
      <c r="E25" s="16"/>
      <c r="F25" s="16"/>
      <c r="G25" s="4"/>
    </row>
    <row r="26" spans="1:16" x14ac:dyDescent="0.25">
      <c r="A26" s="16"/>
      <c r="B26" s="4"/>
      <c r="C26" s="4"/>
      <c r="D26" s="4"/>
      <c r="E26" s="16"/>
      <c r="F26" s="16"/>
      <c r="G26" s="4"/>
    </row>
    <row r="27" spans="1:16" x14ac:dyDescent="0.25">
      <c r="A27" s="16"/>
      <c r="B27" s="4"/>
      <c r="C27" s="4"/>
      <c r="D27" s="4"/>
      <c r="E27" s="16"/>
      <c r="F27" s="16"/>
      <c r="G27" s="4"/>
    </row>
    <row r="28" spans="1:16" x14ac:dyDescent="0.25">
      <c r="A28" s="16"/>
      <c r="B28" s="4"/>
      <c r="C28" s="4"/>
      <c r="D28" s="4"/>
      <c r="E28" s="16"/>
      <c r="F28" s="16"/>
      <c r="G28" s="4"/>
    </row>
    <row r="29" spans="1:16" x14ac:dyDescent="0.25">
      <c r="A29" s="5"/>
      <c r="B29" s="4"/>
      <c r="C29" s="4"/>
      <c r="D29" s="4"/>
      <c r="E29" s="5"/>
      <c r="F29" s="5"/>
      <c r="G29" s="4"/>
    </row>
    <row r="30" spans="1:16" x14ac:dyDescent="0.25">
      <c r="A30" s="5"/>
      <c r="B30" s="4"/>
      <c r="C30" s="4"/>
      <c r="D30" s="4"/>
      <c r="E30" s="5"/>
      <c r="F30" s="5"/>
      <c r="G30" s="4"/>
    </row>
    <row r="31" spans="1:16" x14ac:dyDescent="0.25">
      <c r="A31" s="5"/>
      <c r="B31" s="4"/>
      <c r="C31" s="4"/>
      <c r="D31" s="4"/>
      <c r="E31" s="5"/>
      <c r="F31" s="5"/>
      <c r="G31" s="4"/>
    </row>
    <row r="32" spans="1:16" x14ac:dyDescent="0.25">
      <c r="A32" s="5"/>
      <c r="B32" s="4"/>
      <c r="C32" s="4"/>
      <c r="D32" s="4"/>
      <c r="E32" s="5"/>
      <c r="F32" s="5"/>
      <c r="G32" s="4"/>
    </row>
    <row r="33" spans="1:15" x14ac:dyDescent="0.25">
      <c r="A33" s="5"/>
      <c r="B33" s="4"/>
      <c r="C33" s="4"/>
      <c r="D33" s="4"/>
      <c r="E33" s="5"/>
      <c r="F33" s="5"/>
      <c r="G33" s="4"/>
    </row>
    <row r="34" spans="1:15" x14ac:dyDescent="0.25">
      <c r="C34" s="6"/>
      <c r="D34" s="6"/>
      <c r="E34" s="6"/>
      <c r="F34" s="6"/>
    </row>
    <row r="35" spans="1:15" x14ac:dyDescent="0.25">
      <c r="C35" s="6"/>
      <c r="D35" s="6"/>
      <c r="E35" s="6"/>
      <c r="F35" s="6"/>
    </row>
    <row r="36" spans="1:15" ht="18.75" x14ac:dyDescent="0.3">
      <c r="A36" s="531" t="s">
        <v>129</v>
      </c>
      <c r="B36" s="532"/>
      <c r="C36" s="532"/>
      <c r="D36" s="532"/>
      <c r="E36" s="532"/>
      <c r="F36" s="532"/>
      <c r="G36" s="532"/>
      <c r="L36" s="248" t="s">
        <v>13</v>
      </c>
      <c r="N36" s="286" t="s">
        <v>577</v>
      </c>
      <c r="O36">
        <v>4411</v>
      </c>
    </row>
    <row r="37" spans="1:15" x14ac:dyDescent="0.25">
      <c r="A37" s="31"/>
      <c r="B37" s="50" t="s">
        <v>9</v>
      </c>
      <c r="C37" s="50" t="s">
        <v>10</v>
      </c>
      <c r="D37" s="50" t="s">
        <v>16</v>
      </c>
      <c r="E37" s="50" t="s">
        <v>17</v>
      </c>
      <c r="F37" s="32"/>
      <c r="G37" s="31"/>
      <c r="L37" s="248" t="s">
        <v>14</v>
      </c>
      <c r="N37" s="286" t="s">
        <v>578</v>
      </c>
      <c r="O37">
        <v>3331</v>
      </c>
    </row>
    <row r="38" spans="1:15" x14ac:dyDescent="0.25">
      <c r="A38" s="48" t="s">
        <v>13</v>
      </c>
      <c r="B38" s="199">
        <f>G5*0.4</f>
        <v>2474.0100000000002</v>
      </c>
      <c r="C38" s="199">
        <f>G5*0.4</f>
        <v>2474.0100000000002</v>
      </c>
      <c r="D38" s="199">
        <f>G5*0.1</f>
        <v>618.50250000000005</v>
      </c>
      <c r="E38" s="200">
        <f>G5*0.1</f>
        <v>618.50250000000005</v>
      </c>
      <c r="F38" s="33"/>
      <c r="G38" s="31"/>
      <c r="L38" s="248" t="s">
        <v>15</v>
      </c>
      <c r="N38" s="286" t="s">
        <v>579</v>
      </c>
      <c r="O38">
        <v>3313</v>
      </c>
    </row>
    <row r="39" spans="1:15" x14ac:dyDescent="0.25">
      <c r="A39" s="48" t="s">
        <v>14</v>
      </c>
      <c r="B39" s="199">
        <f>G6*0.3</f>
        <v>1193.3999999999999</v>
      </c>
      <c r="C39" s="199">
        <f>G6*0.3</f>
        <v>1193.3999999999999</v>
      </c>
      <c r="D39" s="199">
        <f>G6*0.3</f>
        <v>1193.3999999999999</v>
      </c>
      <c r="E39" s="200">
        <f>G6*0.1</f>
        <v>397.8</v>
      </c>
      <c r="F39" s="33"/>
      <c r="G39" s="31"/>
      <c r="L39" s="248" t="s">
        <v>5</v>
      </c>
      <c r="N39" s="286"/>
      <c r="O39">
        <v>23</v>
      </c>
    </row>
    <row r="40" spans="1:15" x14ac:dyDescent="0.25">
      <c r="A40" s="48" t="s">
        <v>15</v>
      </c>
      <c r="B40" s="199">
        <f>G7*0.3</f>
        <v>861.83676000000003</v>
      </c>
      <c r="C40" s="199">
        <f>G7*0.3</f>
        <v>861.83676000000003</v>
      </c>
      <c r="D40" s="199">
        <f>G7*0.1</f>
        <v>287.27892000000003</v>
      </c>
      <c r="E40" s="200">
        <f>G7*0.3</f>
        <v>861.83676000000003</v>
      </c>
      <c r="F40" s="33"/>
      <c r="G40" s="31"/>
      <c r="L40" s="248" t="s">
        <v>6</v>
      </c>
      <c r="N40" s="286" t="s">
        <v>580</v>
      </c>
      <c r="O40">
        <v>23</v>
      </c>
    </row>
    <row r="41" spans="1:15" x14ac:dyDescent="0.25">
      <c r="A41" s="48" t="s">
        <v>5</v>
      </c>
      <c r="B41" s="199">
        <f>G8*0.5</f>
        <v>0</v>
      </c>
      <c r="C41" s="199">
        <f>G8*0.5</f>
        <v>0</v>
      </c>
      <c r="D41" s="201"/>
      <c r="E41" s="202"/>
      <c r="F41" s="33"/>
      <c r="G41" s="31"/>
      <c r="L41" s="248" t="s">
        <v>7</v>
      </c>
      <c r="N41" s="286" t="s">
        <v>581</v>
      </c>
    </row>
    <row r="42" spans="1:15" x14ac:dyDescent="0.25">
      <c r="A42" s="48" t="s">
        <v>6</v>
      </c>
      <c r="B42" s="199">
        <f>G9*0.5</f>
        <v>1323.98856</v>
      </c>
      <c r="C42" s="199">
        <f>G9*0.5</f>
        <v>1323.98856</v>
      </c>
      <c r="D42" s="201"/>
      <c r="E42" s="202"/>
      <c r="F42" s="33"/>
      <c r="G42" s="31"/>
      <c r="L42" s="248" t="s">
        <v>8</v>
      </c>
      <c r="N42" s="286" t="s">
        <v>582</v>
      </c>
    </row>
    <row r="43" spans="1:15" x14ac:dyDescent="0.25">
      <c r="A43" s="48" t="s">
        <v>7</v>
      </c>
      <c r="B43" s="199">
        <f>G10*0.5</f>
        <v>1194.5207250000001</v>
      </c>
      <c r="C43" s="199">
        <f>G10*0.5</f>
        <v>1194.5207250000001</v>
      </c>
      <c r="D43" s="201"/>
      <c r="E43" s="202"/>
      <c r="F43" s="33"/>
      <c r="G43" s="31"/>
      <c r="L43" s="248" t="s">
        <v>41</v>
      </c>
      <c r="N43" s="286" t="s">
        <v>583</v>
      </c>
      <c r="O43">
        <v>4</v>
      </c>
    </row>
    <row r="44" spans="1:15" x14ac:dyDescent="0.25">
      <c r="A44" s="48" t="s">
        <v>8</v>
      </c>
      <c r="B44" s="199">
        <f>G11*0.5</f>
        <v>914.63400000000001</v>
      </c>
      <c r="C44" s="199">
        <f>G11*0.5</f>
        <v>914.63400000000001</v>
      </c>
      <c r="D44" s="201"/>
      <c r="E44" s="202"/>
      <c r="F44" s="33"/>
      <c r="G44" s="31"/>
      <c r="L44" s="248" t="s">
        <v>205</v>
      </c>
      <c r="N44" s="286" t="s">
        <v>584</v>
      </c>
      <c r="O44">
        <v>4</v>
      </c>
    </row>
    <row r="45" spans="1:15" x14ac:dyDescent="0.25">
      <c r="A45" s="48" t="s">
        <v>41</v>
      </c>
      <c r="B45" s="202"/>
      <c r="C45" s="201"/>
      <c r="D45" s="199">
        <f>G12</f>
        <v>1973.6999999999998</v>
      </c>
      <c r="E45" s="202"/>
      <c r="F45" s="33"/>
      <c r="G45" s="33"/>
      <c r="L45" s="248" t="s">
        <v>206</v>
      </c>
      <c r="N45" s="286" t="s">
        <v>585</v>
      </c>
      <c r="O45">
        <v>4</v>
      </c>
    </row>
    <row r="46" spans="1:15" x14ac:dyDescent="0.25">
      <c r="A46" s="48" t="s">
        <v>225</v>
      </c>
      <c r="B46" s="202"/>
      <c r="C46" s="201"/>
      <c r="D46" s="199">
        <f>G13</f>
        <v>7967.5117199999995</v>
      </c>
      <c r="E46" s="202"/>
      <c r="F46" s="33"/>
      <c r="G46" s="31"/>
      <c r="L46" s="248" t="s">
        <v>207</v>
      </c>
      <c r="N46" s="286" t="s">
        <v>586</v>
      </c>
      <c r="O46">
        <v>4</v>
      </c>
    </row>
    <row r="47" spans="1:15" x14ac:dyDescent="0.25">
      <c r="A47" s="48" t="s">
        <v>226</v>
      </c>
      <c r="B47" s="202"/>
      <c r="C47" s="202"/>
      <c r="D47" s="199">
        <f>G14</f>
        <v>5198.8634999999995</v>
      </c>
      <c r="E47" s="202"/>
      <c r="F47" s="33"/>
      <c r="G47" s="33"/>
      <c r="L47" s="248" t="s">
        <v>599</v>
      </c>
      <c r="N47" s="286" t="s">
        <v>600</v>
      </c>
      <c r="O47">
        <v>6</v>
      </c>
    </row>
    <row r="48" spans="1:15" x14ac:dyDescent="0.25">
      <c r="A48" s="48" t="s">
        <v>227</v>
      </c>
      <c r="B48" s="202"/>
      <c r="C48" s="202"/>
      <c r="D48" s="199">
        <f>G15</f>
        <v>4800.08583</v>
      </c>
      <c r="E48" s="202"/>
      <c r="F48" s="33"/>
      <c r="G48" s="33"/>
      <c r="L48" s="248" t="s">
        <v>209</v>
      </c>
      <c r="N48" s="286" t="s">
        <v>587</v>
      </c>
      <c r="O48">
        <v>6</v>
      </c>
    </row>
    <row r="49" spans="1:15" x14ac:dyDescent="0.25">
      <c r="A49" s="48" t="s">
        <v>228</v>
      </c>
      <c r="B49" s="202"/>
      <c r="C49" s="201"/>
      <c r="D49" s="199"/>
      <c r="E49" s="199">
        <f>G19</f>
        <v>48183.239655000005</v>
      </c>
      <c r="F49" s="33"/>
      <c r="G49" s="31"/>
      <c r="L49" s="248" t="s">
        <v>210</v>
      </c>
      <c r="N49" s="286" t="s">
        <v>570</v>
      </c>
      <c r="O49">
        <v>6</v>
      </c>
    </row>
    <row r="50" spans="1:15" x14ac:dyDescent="0.25">
      <c r="A50" s="48" t="s">
        <v>223</v>
      </c>
      <c r="B50" s="202"/>
      <c r="C50" s="201"/>
      <c r="D50" s="199"/>
      <c r="E50" s="199">
        <f>G17</f>
        <v>3503.7</v>
      </c>
      <c r="F50" s="33"/>
      <c r="G50" s="31"/>
      <c r="L50" s="248" t="s">
        <v>230</v>
      </c>
      <c r="N50" s="286"/>
    </row>
    <row r="51" spans="1:15" x14ac:dyDescent="0.25">
      <c r="A51" s="48" t="s">
        <v>229</v>
      </c>
      <c r="B51" s="202"/>
      <c r="C51" s="201"/>
      <c r="D51" s="199"/>
      <c r="E51" s="199">
        <f>G18</f>
        <v>6156.5601150000002</v>
      </c>
      <c r="F51" s="33"/>
      <c r="G51" s="31"/>
      <c r="L51" s="248" t="s">
        <v>536</v>
      </c>
      <c r="N51" s="286" t="s">
        <v>571</v>
      </c>
      <c r="O51">
        <v>23</v>
      </c>
    </row>
    <row r="52" spans="1:15" x14ac:dyDescent="0.25">
      <c r="A52" s="49" t="s">
        <v>127</v>
      </c>
      <c r="B52" s="199"/>
      <c r="C52" s="199"/>
      <c r="D52" s="199">
        <f>G19*0.5</f>
        <v>24091.619827500002</v>
      </c>
      <c r="E52" s="199">
        <f>G19*0.5</f>
        <v>24091.619827500002</v>
      </c>
      <c r="F52" s="31"/>
      <c r="G52" s="31"/>
      <c r="L52" s="248" t="s">
        <v>537</v>
      </c>
      <c r="N52" s="286" t="s">
        <v>572</v>
      </c>
      <c r="O52">
        <v>4</v>
      </c>
    </row>
    <row r="53" spans="1:15" x14ac:dyDescent="0.25">
      <c r="A53" s="34" t="s">
        <v>61</v>
      </c>
      <c r="B53" s="522">
        <f>SUM(B38:B52)</f>
        <v>7962.3900450000001</v>
      </c>
      <c r="C53" s="522">
        <f>SUM(C38:C52)</f>
        <v>7962.3900450000001</v>
      </c>
      <c r="D53" s="522">
        <f>SUM(D38:D52)</f>
        <v>46130.962297500002</v>
      </c>
      <c r="E53" s="522">
        <f>SUM(E38:E52)</f>
        <v>83813.258857500012</v>
      </c>
      <c r="F53" s="33"/>
      <c r="G53" s="31"/>
      <c r="L53" s="248" t="s">
        <v>538</v>
      </c>
      <c r="N53" s="286" t="s">
        <v>573</v>
      </c>
      <c r="O53">
        <v>23</v>
      </c>
    </row>
    <row r="54" spans="1:15" x14ac:dyDescent="0.25">
      <c r="C54" s="6"/>
      <c r="D54" s="6"/>
      <c r="F54" s="15"/>
      <c r="L54" s="248" t="s">
        <v>539</v>
      </c>
      <c r="N54" s="286" t="s">
        <v>574</v>
      </c>
      <c r="O54">
        <v>23</v>
      </c>
    </row>
    <row r="55" spans="1:15" x14ac:dyDescent="0.25">
      <c r="C55" s="6"/>
      <c r="D55" s="5"/>
      <c r="E55" s="17"/>
      <c r="L55" s="248" t="s">
        <v>540</v>
      </c>
      <c r="N55" s="286" t="s">
        <v>575</v>
      </c>
      <c r="O55">
        <v>6</v>
      </c>
    </row>
    <row r="56" spans="1:15" x14ac:dyDescent="0.25">
      <c r="L56" s="248" t="s">
        <v>541</v>
      </c>
      <c r="N56" s="286" t="s">
        <v>576</v>
      </c>
      <c r="O56">
        <v>4</v>
      </c>
    </row>
  </sheetData>
  <mergeCells count="3">
    <mergeCell ref="A1:G1"/>
    <mergeCell ref="E21:F21"/>
    <mergeCell ref="A36:G36"/>
  </mergeCells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27</vt:i4>
      </vt:variant>
    </vt:vector>
  </HeadingPairs>
  <TitlesOfParts>
    <vt:vector size="60" baseType="lpstr">
      <vt:lpstr>Summary</vt:lpstr>
      <vt:lpstr>Revenue</vt:lpstr>
      <vt:lpstr>Revenue Worksheet</vt:lpstr>
      <vt:lpstr>Operational Expense</vt:lpstr>
      <vt:lpstr>Wages</vt:lpstr>
      <vt:lpstr>Employee &amp; Ret. Health Benefits</vt:lpstr>
      <vt:lpstr> PERS Retirement Benifits</vt:lpstr>
      <vt:lpstr>Workers Comp</vt:lpstr>
      <vt:lpstr>Payroll Taxes</vt:lpstr>
      <vt:lpstr>Unemployment Taxes</vt:lpstr>
      <vt:lpstr>Utilities&amp;Auto</vt:lpstr>
      <vt:lpstr>Utility&amp;Auto&amp;Misc. Worksheet</vt:lpstr>
      <vt:lpstr>Training And Travel</vt:lpstr>
      <vt:lpstr>Professional Services</vt:lpstr>
      <vt:lpstr>professional Services worksheet</vt:lpstr>
      <vt:lpstr>Capital reserve reference</vt:lpstr>
      <vt:lpstr>CPUD Vehicles</vt:lpstr>
      <vt:lpstr>Fire &amp; Ambulance Vehicles</vt:lpstr>
      <vt:lpstr>CPUD Emergency Equipment</vt:lpstr>
      <vt:lpstr>Water Fund</vt:lpstr>
      <vt:lpstr> Sanitation Fund</vt:lpstr>
      <vt:lpstr>198 Main St.</vt:lpstr>
      <vt:lpstr>Fire Station</vt:lpstr>
      <vt:lpstr>Capitol Allocation</vt:lpstr>
      <vt:lpstr>Office Capitol Priority</vt:lpstr>
      <vt:lpstr>Sanitation Capitol Priority</vt:lpstr>
      <vt:lpstr>Distribution Capitol priority</vt:lpstr>
      <vt:lpstr>Fire &amp; Water Headquarters</vt:lpstr>
      <vt:lpstr> Sanitation assets</vt:lpstr>
      <vt:lpstr>Water Asset priority</vt:lpstr>
      <vt:lpstr>198 main Fire Capitol Priority</vt:lpstr>
      <vt:lpstr>Ambulance capitol priority</vt:lpstr>
      <vt:lpstr>Fire Capitol Priority</vt:lpstr>
      <vt:lpstr>' Sanitation assets'!ColumnTitle1</vt:lpstr>
      <vt:lpstr>'198 main Fire Capitol Priority'!ColumnTitle1</vt:lpstr>
      <vt:lpstr>'Ambulance capitol priority'!ColumnTitle1</vt:lpstr>
      <vt:lpstr>'Distribution Capitol priority'!ColumnTitle1</vt:lpstr>
      <vt:lpstr>'Fire &amp; Water Headquarters'!ColumnTitle1</vt:lpstr>
      <vt:lpstr>'Fire Capitol Priority'!ColumnTitle1</vt:lpstr>
      <vt:lpstr>'Sanitation Capitol Priority'!ColumnTitle1</vt:lpstr>
      <vt:lpstr>'Water Asset priority'!ColumnTitle1</vt:lpstr>
      <vt:lpstr>ColumnTitle1</vt:lpstr>
      <vt:lpstr>' Sanitation assets'!company_name</vt:lpstr>
      <vt:lpstr>'198 main Fire Capitol Priority'!company_name</vt:lpstr>
      <vt:lpstr>'Ambulance capitol priority'!company_name</vt:lpstr>
      <vt:lpstr>'Distribution Capitol priority'!company_name</vt:lpstr>
      <vt:lpstr>'Fire &amp; Water Headquarters'!company_name</vt:lpstr>
      <vt:lpstr>'Fire Capitol Priority'!company_name</vt:lpstr>
      <vt:lpstr>'Sanitation Capitol Priority'!company_name</vt:lpstr>
      <vt:lpstr>'Water Asset priority'!company_name</vt:lpstr>
      <vt:lpstr>company_name</vt:lpstr>
      <vt:lpstr>' Sanitation assets'!Print_Titles</vt:lpstr>
      <vt:lpstr>'198 main Fire Capitol Priority'!Print_Titles</vt:lpstr>
      <vt:lpstr>'Ambulance capitol priority'!Print_Titles</vt:lpstr>
      <vt:lpstr>'Distribution Capitol priority'!Print_Titles</vt:lpstr>
      <vt:lpstr>'Fire &amp; Water Headquarters'!Print_Titles</vt:lpstr>
      <vt:lpstr>'Fire Capitol Priority'!Print_Titles</vt:lpstr>
      <vt:lpstr>'Office Capitol Priority'!Print_Titles</vt:lpstr>
      <vt:lpstr>'Sanitation Capitol Priority'!Print_Titles</vt:lpstr>
      <vt:lpstr>'Water Asset priority'!Print_Titles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</dc:creator>
  <cp:lastModifiedBy>Lead Supervisor</cp:lastModifiedBy>
  <cp:lastPrinted>2021-10-12T22:48:04Z</cp:lastPrinted>
  <dcterms:created xsi:type="dcterms:W3CDTF">2020-12-23T06:21:00Z</dcterms:created>
  <dcterms:modified xsi:type="dcterms:W3CDTF">2021-12-01T15:26:28Z</dcterms:modified>
</cp:coreProperties>
</file>